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3.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3"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抵押物情况汇总" sheetId="77" r:id="rId14"/>
    <sheet name="数据-汇总表" sheetId="6" r:id="rId15"/>
    <sheet name="数据-取费表" sheetId="1" r:id="rId16"/>
    <sheet name="估价对象房地状况" sheetId="20" state="hidden" r:id="rId17"/>
    <sheet name="系统读取表" sheetId="74" state="hidden" r:id="rId18"/>
    <sheet name="租赁台账" sheetId="83" r:id="rId19"/>
    <sheet name="Sheet1" sheetId="89" r:id="rId20"/>
    <sheet name="结果表" sheetId="9" r:id="rId21"/>
    <sheet name="成本法" sheetId="68" r:id="rId22"/>
    <sheet name="成本法 (元)" sheetId="69" state="hidden" r:id="rId23"/>
    <sheet name="假设开发法" sheetId="12" state="hidden" r:id="rId24"/>
    <sheet name="土地比较法-工业" sheetId="40" r:id="rId25"/>
    <sheet name="年期修正系数" sheetId="90" r:id="rId26"/>
    <sheet name="土地案例" sheetId="84" r:id="rId27"/>
    <sheet name="选取案例" sheetId="88" r:id="rId28"/>
    <sheet name="收益法" sheetId="15" r:id="rId29"/>
    <sheet name="收益法（汇总）" sheetId="70" state="hidden" r:id="rId30"/>
    <sheet name="收益法（宿舍）" sheetId="78" state="hidden" r:id="rId31"/>
    <sheet name="收益法（住宅）" sheetId="79" state="hidden" r:id="rId32"/>
    <sheet name="租金" sheetId="82" state="hidden" r:id="rId33"/>
    <sheet name="收益法 (元)" sheetId="67" state="hidden" r:id="rId34"/>
    <sheet name="酒店收入计算" sheetId="66" state="hidden" r:id="rId35"/>
    <sheet name="比较法-住宅" sheetId="21" state="hidden" r:id="rId36"/>
    <sheet name="比较法-商业" sheetId="33" state="hidden" r:id="rId37"/>
    <sheet name="比较法-办公" sheetId="34" state="hidden" r:id="rId38"/>
    <sheet name="比较法-工业" sheetId="37" state="hidden" r:id="rId39"/>
    <sheet name="比较法-车位" sheetId="35" state="hidden" r:id="rId40"/>
    <sheet name="比较法-仓储" sheetId="36" state="hidden" r:id="rId41"/>
    <sheet name="土地比较法-住宅、综合" sheetId="39" state="hidden" r:id="rId42"/>
    <sheet name="基准地价修正" sheetId="43" state="hidden" r:id="rId43"/>
    <sheet name="修正" sheetId="45" state="hidden" r:id="rId44"/>
    <sheet name="容积率修正" sheetId="46" state="hidden" r:id="rId45"/>
    <sheet name="基准地价（汇总）" sheetId="76" state="hidden" r:id="rId46"/>
    <sheet name="地价" sheetId="71" state="hidden" r:id="rId47"/>
    <sheet name="典型户型修正" sheetId="31" state="hidden" r:id="rId48"/>
    <sheet name="成本法（废）" sheetId="11" state="hidden" r:id="rId49"/>
    <sheet name="区片价" sheetId="44" state="hidden" r:id="rId50"/>
    <sheet name="因素修正幅度" sheetId="65" state="hidden" r:id="rId51"/>
    <sheet name="存贷款利率" sheetId="73" state="hidden" r:id="rId52"/>
    <sheet name="区片价（范围）" sheetId="75" state="hidden" r:id="rId53"/>
    <sheet name="Sheet5" sheetId="87" r:id="rId54"/>
  </sheets>
  <externalReferences>
    <externalReference r:id="rId55"/>
  </externalReferences>
  <definedNames>
    <definedName name="_xlnm._FilterDatabase" localSheetId="37" hidden="1">'比较法-办公'!$A$1:$L$50</definedName>
    <definedName name="_xlnm._FilterDatabase" localSheetId="40" hidden="1">'比较法-仓储'!$A$1:$L$37</definedName>
    <definedName name="_xlnm._FilterDatabase" localSheetId="39" hidden="1">'比较法-车位'!$A$1:$L$39</definedName>
    <definedName name="_xlnm._FilterDatabase" localSheetId="38" hidden="1">'比较法-工业'!$A$1:$L$43</definedName>
    <definedName name="_xlnm._FilterDatabase" localSheetId="36" hidden="1">'比较法-商业'!$A$1:$L$49</definedName>
    <definedName name="_xlnm._FilterDatabase" localSheetId="35" hidden="1">'比较法-住宅'!$A$1:$L$49</definedName>
    <definedName name="_xlnm._FilterDatabase" localSheetId="11" hidden="1">'数据-基础表'!$A$12:$AT$587</definedName>
    <definedName name="_xlnm._FilterDatabase" localSheetId="24" hidden="1">'土地比较法-工业'!$A$1:$L$43</definedName>
    <definedName name="_xlnm._FilterDatabase" localSheetId="41" hidden="1">'土地比较法-住宅、综合'!$A$1:$L$48</definedName>
    <definedName name="_xlnm._FilterDatabase" localSheetId="10" hidden="1">项目基本情况!$A$42:$N$42</definedName>
    <definedName name="_xlnm._FilterDatabase" localSheetId="18" hidden="1">租赁台账!$A$2:$AN$1151</definedName>
    <definedName name="_xlnm.Print_Area" localSheetId="8">估价师及机构信息!$A$1:$F$29</definedName>
    <definedName name="_xlnm.Print_Area" localSheetId="28">收益法!$A$1:$AK$69</definedName>
    <definedName name="_xlnm.Print_Area" localSheetId="33">'收益法 (元)'!$A$1:$AK$69</definedName>
    <definedName name="_xlnm.Print_Area" localSheetId="30">'收益法（宿舍）'!$A$1:$AK$69</definedName>
    <definedName name="_xlnm.Print_Area" localSheetId="31">'收益法（住宅）'!$A$1:$AK$69</definedName>
    <definedName name="_xlnm.Print_Area" localSheetId="14">'数据-汇总表'!$A$1:$P$32</definedName>
    <definedName name="八级">区片价!$O$1:$O$40</definedName>
    <definedName name="办公层高" localSheetId="13">'比较法-办公'!$B$119:$M$119</definedName>
    <definedName name="办公层高">'比较法-办公'!$B$119:$M$119</definedName>
    <definedName name="办公朝向" localSheetId="13">'比较法-办公'!$B$91:$M$91</definedName>
    <definedName name="办公朝向">'比较法-办公'!$B$91:$M$91</definedName>
    <definedName name="办公道路级别" localSheetId="13">'比较法-办公'!$B$87:$M$87</definedName>
    <definedName name="办公道路级别">'比较法-办公'!$B$87:$M$87</definedName>
    <definedName name="办公公共部分装修" localSheetId="13">'比较法-办公'!$B$108:$M$108</definedName>
    <definedName name="办公公共部分装修">'比较法-办公'!$B$108:$M$108</definedName>
    <definedName name="办公基础设施水平" localSheetId="13">'比较法-办公'!$B$117:$M$117</definedName>
    <definedName name="办公基础设施水平">'比较法-办公'!$B$117:$M$117</definedName>
    <definedName name="办公集聚程度" localSheetId="13">定义!$M$1:$M$6</definedName>
    <definedName name="办公集聚程度">定义!$M$1:$M$6</definedName>
    <definedName name="办公建筑结构" localSheetId="13">'比较法-办公'!$B$106:$M$106</definedName>
    <definedName name="办公建筑结构">'比较法-办公'!$B$106:$M$106</definedName>
    <definedName name="办公建筑类型" localSheetId="13">'比较法-办公'!$B$101:$M$101</definedName>
    <definedName name="办公建筑类型">'比较法-办公'!$B$101:$M$101</definedName>
    <definedName name="办公交易情况" localSheetId="13">'比较法-办公'!$A$62:$M$62</definedName>
    <definedName name="办公交易情况">'比较法-办公'!$A$62:$M$62</definedName>
    <definedName name="办公楼层" localSheetId="13">'比较法-办公'!$B$89:$M$89</definedName>
    <definedName name="办公楼层">'比较法-办公'!$B$89:$M$89</definedName>
    <definedName name="办公内部装修" localSheetId="13">'比较法-办公'!$B$123:$M$123</definedName>
    <definedName name="办公内部装修">'比较法-办公'!$B$123:$M$123</definedName>
    <definedName name="办公物业管理" localSheetId="13">'比较法-办公'!$B$115:$M$115</definedName>
    <definedName name="办公物业管理">'比较法-办公'!$B$115:$M$115</definedName>
    <definedName name="办公用途" localSheetId="13">'比较法-办公'!$B$64:$M$64</definedName>
    <definedName name="办公用途">'比较法-办公'!$B$64:$M$64</definedName>
    <definedName name="仓储公共部分装修" localSheetId="13">'比较法-仓储'!$B$77:$M$77</definedName>
    <definedName name="仓储公共部分装修">'比较法-仓储'!$B$77:$M$77</definedName>
    <definedName name="仓储交易情况" localSheetId="13">'比较法-仓储'!$A$49:$M$49</definedName>
    <definedName name="仓储交易情况">'比较法-仓储'!$A$49:$M$49</definedName>
    <definedName name="仓储楼层" localSheetId="13">'比较法-仓储'!$B$69:$M$69</definedName>
    <definedName name="仓储楼层">'比较法-仓储'!$B$69:$M$69</definedName>
    <definedName name="仓储物业等级" localSheetId="13">'比较法-仓储'!$B$82:$M$82</definedName>
    <definedName name="仓储物业等级">'比较法-仓储'!$B$82:$M$82</definedName>
    <definedName name="仓储用途" localSheetId="13">'比较法-仓储'!$B$51:$M$51</definedName>
    <definedName name="仓储用途">'比较法-仓储'!$B$51:$M$51</definedName>
    <definedName name="产业集聚程度" localSheetId="13">定义!$N$1:$N$6</definedName>
    <definedName name="产业集聚程度">定义!$N$1:$N$6</definedName>
    <definedName name="车位公共部分装修" localSheetId="13">'比较法-车位'!$B$83:$M$83</definedName>
    <definedName name="车位公共部分装修">'比较法-车位'!$B$83:$M$83</definedName>
    <definedName name="车位交易情况" localSheetId="13">'比较法-车位'!$A$51:$M$51</definedName>
    <definedName name="车位交易情况">'比较法-车位'!$A$51:$M$51</definedName>
    <definedName name="车位类型" localSheetId="13">'比较法-车位'!$B$93:$M$93</definedName>
    <definedName name="车位类型">'比较法-车位'!$B$93:$M$93</definedName>
    <definedName name="车位楼层" localSheetId="13">'比较法-车位'!$B$71:$M$71</definedName>
    <definedName name="车位楼层">'比较法-车位'!$B$71:$M$71</definedName>
    <definedName name="车位配套类型" localSheetId="13">'比较法-车位'!$B$79:$M$79</definedName>
    <definedName name="车位配套类型">'比较法-车位'!$B$79:$M$79</definedName>
    <definedName name="车位物业等级" localSheetId="13">'比较法-车位'!$B$88:$M$88</definedName>
    <definedName name="车位物业等级">'比较法-车位'!$B$88:$M$88</definedName>
    <definedName name="车位用途" localSheetId="13">'比较法-车位'!$B$53:$M$53</definedName>
    <definedName name="车位用途">'比较法-车位'!$B$53:$M$53</definedName>
    <definedName name="城镇土地纳税等级分级范围" localSheetId="13">'数据-取费表'!$A$53:$A$63</definedName>
    <definedName name="城镇土地纳税等级分级范围">'数据-取费表'!$A$53:$A$63</definedName>
    <definedName name="单价内涵" localSheetId="13">定义!$V$1:$V$3</definedName>
    <definedName name="单价内涵">定义!$V$1:$V$3</definedName>
    <definedName name="地类判定" localSheetId="13">定义!$H$1:$H$9</definedName>
    <definedName name="地类判定">定义!$H$1:$H$9</definedName>
    <definedName name="二级">区片价!$I$1:$I$20</definedName>
    <definedName name="二级分类" localSheetId="13">修正!$C$17:$C$39</definedName>
    <definedName name="二级分类">修正!$C$17:$C$39</definedName>
    <definedName name="法定最高年限" localSheetId="13">定义!$G$1:$G$4</definedName>
    <definedName name="法定最高年限" localSheetId="25">[1]定义!$F$2:$F$4</definedName>
    <definedName name="法定最高年限">定义!$G$1:$G$4</definedName>
    <definedName name="工业公共部分装修" localSheetId="13">'比较法-工业'!$B$95:$M$95</definedName>
    <definedName name="工业公共部分装修">'比较法-工业'!$B$95:$M$95</definedName>
    <definedName name="工业基础设施水平" localSheetId="13">'比较法-工业'!$B$102:$M$102</definedName>
    <definedName name="工业基础设施水平">'比较法-工业'!$B$102:$M$102</definedName>
    <definedName name="工业建筑结构" localSheetId="13">'比较法-工业'!$B$93:$M$93</definedName>
    <definedName name="工业建筑结构">'比较法-工业'!$B$93:$M$93</definedName>
    <definedName name="工业建筑类型" localSheetId="13">'比较法-工业'!$B$88:$M$88</definedName>
    <definedName name="工业建筑类型">'比较法-工业'!$B$88:$M$88</definedName>
    <definedName name="工业交易情况" localSheetId="13">'比较法-工业'!$A$55:$M$55</definedName>
    <definedName name="工业交易情况">'比较法-工业'!$A$55:$M$55</definedName>
    <definedName name="工业内部装修" localSheetId="13">'比较法-工业'!$B$104:$M$104</definedName>
    <definedName name="工业内部装修">'比较法-工业'!$B$104:$M$104</definedName>
    <definedName name="工业物业管理" localSheetId="13">'比较法-工业'!$B$100:$M$100</definedName>
    <definedName name="工业物业管理">'比较法-工业'!$B$100:$M$100</definedName>
    <definedName name="工业用途" localSheetId="13">'比较法-工业'!$B$57:$M$57</definedName>
    <definedName name="工业用途">'比较法-工业'!$B$57:$M$57</definedName>
    <definedName name="公共配套设施" localSheetId="13">定义!$Q$1:$Q$6</definedName>
    <definedName name="公共配套设施">定义!$Q$1:$Q$6</definedName>
    <definedName name="估价方法" localSheetId="13">定义!$B$1:$B$50</definedName>
    <definedName name="估价方法">定义!$B$1:$B$50</definedName>
    <definedName name="环境" localSheetId="13">定义!$S$1:$S$6</definedName>
    <definedName name="环境">定义!$S$1:$S$6</definedName>
    <definedName name="基础设施水平" localSheetId="13">定义!$R$1:$R$6</definedName>
    <definedName name="基础设施水平">定义!$R$1:$R$6</definedName>
    <definedName name="季度">基准地价修正!$Q$19:$AD$19</definedName>
    <definedName name="价值类型2" localSheetId="13">定义!$B$54:$B$56</definedName>
    <definedName name="价值类型2">定义!$B$54:$B$56</definedName>
    <definedName name="交通便捷度" localSheetId="13">定义!$O$1:$O$6</definedName>
    <definedName name="交通便捷度">定义!$O$1:$O$6</definedName>
    <definedName name="九级">区片价!$P$1:$P$46</definedName>
    <definedName name="居住社区成熟度" localSheetId="13">定义!$K$1:$K$6</definedName>
    <definedName name="居住社区成熟度">定义!$K$1:$K$6</definedName>
    <definedName name="类别" localSheetId="13">定义!$J$1:$J$3</definedName>
    <definedName name="类别">定义!$J$1:$J$3</definedName>
    <definedName name="临街状况" localSheetId="13">定义!$T$1:$T$5</definedName>
    <definedName name="临街状况">定义!$T$1:$T$5</definedName>
    <definedName name="六级">区片价!$M$1:$M$49</definedName>
    <definedName name="内部装修维护情况" localSheetId="13">定义!$U$1:$U$6</definedName>
    <definedName name="内部装修维护情况">定义!$U$1:$U$6</definedName>
    <definedName name="判定" localSheetId="13">定义!$D$1:$D$4</definedName>
    <definedName name="判定">定义!$D$1:$D$4</definedName>
    <definedName name="七级">区片价!$N$1:$N$49</definedName>
    <definedName name="七通一平" localSheetId="13">修正!$A$6:$A$14</definedName>
    <definedName name="七通一平">修正!$A$6:$A$14</definedName>
    <definedName name="区域土地利用方向" localSheetId="13">定义!$P$1:$P$6</definedName>
    <definedName name="区域土地利用方向">定义!$P$1:$P$6</definedName>
    <definedName name="三级">区片价!$J$1:$J$21</definedName>
    <definedName name="商业层高" localSheetId="13">'比较法-商业'!$B$116:$M$116</definedName>
    <definedName name="商业层高">'比较法-商业'!$B$116:$M$116</definedName>
    <definedName name="商业成新度">'比较法-商业'!$B$109:$M$109</definedName>
    <definedName name="商业繁华度" localSheetId="13">定义!$L$1:$L$6</definedName>
    <definedName name="商业繁华度">定义!$L$1:$L$6</definedName>
    <definedName name="商业公共部分装修" localSheetId="13">'比较法-商业'!$B$107:$M$107</definedName>
    <definedName name="商业公共部分装修">'比较法-商业'!$B$107:$M$107</definedName>
    <definedName name="商业基础设施水平" localSheetId="13">'比较法-商业'!$B$112:$M$112</definedName>
    <definedName name="商业基础设施水平">'比较法-商业'!$B$112:$M$112</definedName>
    <definedName name="商业建筑结构" localSheetId="13">'比较法-商业'!$B$105:$M$105</definedName>
    <definedName name="商业建筑结构">'比较法-商业'!$B$105:$M$105</definedName>
    <definedName name="商业交易情况" localSheetId="13">'比较法-商业'!$A$61:$M$61</definedName>
    <definedName name="商业交易情况">'比较法-商业'!$A$61:$M$61</definedName>
    <definedName name="商业街名称" localSheetId="13">修正!$C$59:$C$119</definedName>
    <definedName name="商业街名称">修正!$C$59:$C$119</definedName>
    <definedName name="商业进深比" localSheetId="13">'比较法-商业'!$B$120:$M$120</definedName>
    <definedName name="商业进深比">'比较法-商业'!$B$120:$M$120</definedName>
    <definedName name="商业类型" localSheetId="13">'比较法-商业'!$B$100:$M$100</definedName>
    <definedName name="商业类型">'比较法-商业'!$B$100:$M$100</definedName>
    <definedName name="商业临街状况" localSheetId="13">'比较法-商业'!$B$86:$M$86</definedName>
    <definedName name="商业临街状况">'比较法-商业'!$B$86:$M$86</definedName>
    <definedName name="商业楼层" localSheetId="13">'比较法-商业'!$B$92:$M$92</definedName>
    <definedName name="商业楼层">'比较法-商业'!$B$92:$M$92</definedName>
    <definedName name="商业内部装修" localSheetId="13">'比较法-商业'!$B$122:$M$122</definedName>
    <definedName name="商业内部装修">'比较法-商业'!$B$122:$M$122</definedName>
    <definedName name="商业人流量" localSheetId="13">'比较法-商业'!$B$90:$M$90</definedName>
    <definedName name="商业人流量">'比较法-商业'!$B$90:$M$90</definedName>
    <definedName name="商业业态" localSheetId="13">'比较法-商业'!$B$114:$M$114</definedName>
    <definedName name="商业业态">'比较法-商业'!$B$114:$M$114</definedName>
    <definedName name="商业用途" localSheetId="13">'比较法-商业'!$B$63:$M$63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3">'比较法-仓储'!$B$89:$M$89</definedName>
    <definedName name="是否封闭">'比较法-仓储'!$B$89:$M$89</definedName>
    <definedName name="是否直接入户" localSheetId="13">'比较法-车位'!$B$95:$M$95</definedName>
    <definedName name="是否直接入户">'比较法-车位'!$B$95:$M$95</definedName>
    <definedName name="四级">区片价!$K$1:$K$28</definedName>
    <definedName name="套工道路等级" localSheetId="13">'土地比较法-工业'!$B$97:$M$97</definedName>
    <definedName name="套工道路等级">'土地比较法-工业'!$B$97:$M$97</definedName>
    <definedName name="套工地质条件" localSheetId="13">'土地比较法-工业'!$B$114:$M$114</definedName>
    <definedName name="套工地质条件">'土地比较法-工业'!$B$114:$M$114</definedName>
    <definedName name="套工交易情况" localSheetId="13">'土地比较法-住宅、综合'!$A$73:$M$73</definedName>
    <definedName name="套工交易情况">'土地比较法-住宅、综合'!$A$73:$M$73</definedName>
    <definedName name="套工土地级别" localSheetId="13">'土地比较法-工业'!$B$99:$M$99</definedName>
    <definedName name="套工土地级别">'土地比较法-工业'!$B$99:$M$99</definedName>
    <definedName name="套工用途" localSheetId="13">'土地比较法-工业'!$B$70:$M$70</definedName>
    <definedName name="套工用途">'土地比较法-工业'!$B$70:$M$70</definedName>
    <definedName name="套工宗地开发程度" localSheetId="13">'土地比较法-工业'!$B$112:$M$112</definedName>
    <definedName name="套工宗地开发程度">'土地比较法-工业'!$B$112:$M$112</definedName>
    <definedName name="套工宗地形状" localSheetId="13">'土地比较法-工业'!$B$110:$M$110</definedName>
    <definedName name="套工宗地形状">'土地比较法-工业'!$B$110:$M$110</definedName>
    <definedName name="套综道路等级" localSheetId="13">'土地比较法-住宅、综合'!$B$106:$M$106</definedName>
    <definedName name="套综道路等级">'土地比较法-住宅、综合'!$B$106:$M$106</definedName>
    <definedName name="套综工程地质条件" localSheetId="13">'土地比较法-住宅、综合'!$B$125:$M$125</definedName>
    <definedName name="套综工程地质条件">'土地比较法-住宅、综合'!$B$125:$M$125</definedName>
    <definedName name="套综交易情况" localSheetId="13">'土地比较法-住宅、综合'!$A$73:$M$73</definedName>
    <definedName name="套综交易情况">'土地比较法-住宅、综合'!$A$73:$M$73</definedName>
    <definedName name="套综临街宽度及深度" localSheetId="13">'土地比较法-住宅、综合'!$B$121:$M$121</definedName>
    <definedName name="套综临街宽度及深度">'土地比较法-住宅、综合'!$B$121:$M$121</definedName>
    <definedName name="套综土地级别" localSheetId="13">'土地比较法-住宅、综合'!$B$108:$M$108</definedName>
    <definedName name="套综土地级别">'土地比较法-住宅、综合'!$B$108:$M$108</definedName>
    <definedName name="套综用途" localSheetId="13">'土地比较法-住宅、综合'!$B$75:$M$75</definedName>
    <definedName name="套综用途">'土地比较法-住宅、综合'!$B$75:$M$75</definedName>
    <definedName name="套综宗地内开发程度" localSheetId="13">'土地比较法-住宅、综合'!$B$123:$M$123</definedName>
    <definedName name="套综宗地内开发程度">'土地比较法-住宅、综合'!$B$123:$M$123</definedName>
    <definedName name="套综宗地形状" localSheetId="13">'土地比较法-住宅、综合'!$B$119:$M$119</definedName>
    <definedName name="套综宗地形状">'土地比较法-住宅、综合'!$B$119:$M$119</definedName>
    <definedName name="土地估价师">估价师及机构信息!$D$3:$D$24</definedName>
    <definedName name="土地级别" localSheetId="13">定义!$C$1:$C$14</definedName>
    <definedName name="土地级别">定义!$C$1:$C$14</definedName>
    <definedName name="土地利用方向">定义!$P$1:$P$6</definedName>
    <definedName name="土地年限区间" localSheetId="13">定义!$I$1:$I$8</definedName>
    <definedName name="土地年限区间">定义!$I$1:$I$8</definedName>
    <definedName name="位置" localSheetId="13">定义!$E$2:$E$4</definedName>
    <definedName name="位置">定义!$E$2:$E$4</definedName>
    <definedName name="五等判定" localSheetId="13">定义!$W$1:$W$6</definedName>
    <definedName name="五等判定">定义!$W$1:$W$6</definedName>
    <definedName name="五级">区片价!$L$1:$L$35</definedName>
    <definedName name="项目类型" localSheetId="13">'数据-汇总表'!$C$17:$C$26</definedName>
    <definedName name="项目类型">'数据-汇总表'!$C$17:$C$26</definedName>
    <definedName name="写字楼等级" localSheetId="13">'比较法-办公'!$B$113:$M$113</definedName>
    <definedName name="写字楼等级">'比较法-办公'!$B$113:$M$113</definedName>
    <definedName name="一级">区片价!$H$1:$H$6</definedName>
    <definedName name="一修多修正项2" localSheetId="13">典型户型修正!$5:$5</definedName>
    <definedName name="一修多修正项2">典型户型修正!$5:$5</definedName>
    <definedName name="一修多修正项3" localSheetId="13">典型户型修正!$7:$7</definedName>
    <definedName name="一修多修正项3">典型户型修正!$7:$7</definedName>
    <definedName name="一修多修正项4" localSheetId="13">典型户型修正!$9:$9</definedName>
    <definedName name="一修多修正项4">典型户型修正!$9:$9</definedName>
    <definedName name="一修多修正项5" localSheetId="13">典型户型修正!$11:$11</definedName>
    <definedName name="一修多修正项5">典型户型修正!$11:$11</definedName>
    <definedName name="一修多修正项6" localSheetId="13">典型户型修正!$13:$13</definedName>
    <definedName name="一修多修正项6">典型户型修正!$13:$13</definedName>
    <definedName name="一修多修正项7" localSheetId="13">典型户型修正!$15:$15</definedName>
    <definedName name="一修多修正项7">典型户型修正!$15:$15</definedName>
    <definedName name="一修多修正项8" localSheetId="13">典型户型修正!$17:$17</definedName>
    <definedName name="一修多修正项8">典型户型修正!$17:$17</definedName>
    <definedName name="用途明细" localSheetId="13">定义!$A$1:$A$50</definedName>
    <definedName name="用途明细">定义!$A$1:$A$50</definedName>
    <definedName name="有无电梯" localSheetId="13">'比较法-仓储'!$B$84:$M$84</definedName>
    <definedName name="有无电梯">'比较法-仓储'!$B$84:$M$84</definedName>
    <definedName name="主用途" localSheetId="13">定义!$F$1:$F$10</definedName>
    <definedName name="主用途">定义!$F$1:$F$10</definedName>
    <definedName name="住宅朝向" localSheetId="13">'比较法-住宅'!$B$88:$M$88</definedName>
    <definedName name="住宅朝向">'比较法-住宅'!$B$88:$M$88</definedName>
    <definedName name="住宅房型" localSheetId="13">'比较法-住宅'!$B$118:$M$118</definedName>
    <definedName name="住宅房型">'比较法-住宅'!$B$118:$M$118</definedName>
    <definedName name="住宅公共部分装修" localSheetId="13">'比较法-住宅'!$B$109:$M$109</definedName>
    <definedName name="住宅公共部分装修">'比较法-住宅'!$B$109:$M$109</definedName>
    <definedName name="住宅基础设施水平" localSheetId="13">'比较法-住宅'!$B$116:$M$116</definedName>
    <definedName name="住宅基础设施水平">'比较法-住宅'!$B$116:$M$116</definedName>
    <definedName name="住宅建筑结构" localSheetId="13">'比较法-住宅'!$B$105:$M$105</definedName>
    <definedName name="住宅建筑结构">'比较法-住宅'!$B$105:$M$105</definedName>
    <definedName name="住宅建筑类型" localSheetId="13">'比较法-住宅'!$B$100:$M$100</definedName>
    <definedName name="住宅建筑类型">'比较法-住宅'!$B$100:$M$100</definedName>
    <definedName name="住宅建筑品质" localSheetId="13">'比较法-住宅'!$B$107:$M$107</definedName>
    <definedName name="住宅建筑品质">'比较法-住宅'!$B$107:$M$107</definedName>
    <definedName name="住宅交易情况" localSheetId="13">'比较法-住宅'!$A$61:$M$61</definedName>
    <definedName name="住宅交易情况">'比较法-住宅'!$A$61:$M$61</definedName>
    <definedName name="住宅楼层" localSheetId="13">'比较法-住宅'!$B$86:$M$86</definedName>
    <definedName name="住宅楼层">'比较法-住宅'!$B$86:$M$86</definedName>
    <definedName name="住宅内部装修" localSheetId="13">'比较法-住宅'!$B$122:$M$122</definedName>
    <definedName name="住宅内部装修">'比较法-住宅'!$B$122:$M$122</definedName>
    <definedName name="住宅物业管理" localSheetId="13">'比较法-住宅'!$B$114:$M$114</definedName>
    <definedName name="住宅物业管理">'比较法-住宅'!$B$114:$M$114</definedName>
    <definedName name="住宅用途" localSheetId="13">'比较法-住宅'!$B$63:$M$63</definedName>
    <definedName name="住宅用途">'比较法-住宅'!$B$63:$M$63</definedName>
    <definedName name="住宅主力户型面积">'比较法-住宅'!$B$120:$M$120</definedName>
    <definedName name="注册房地产估价师" localSheetId="13">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I13" i="3" l="1"/>
  <c r="AE37" i="77"/>
  <c r="AF37" i="77" s="1"/>
  <c r="AE27" i="77"/>
  <c r="AF27" i="77" s="1"/>
  <c r="AE26" i="77"/>
  <c r="AF26" i="77" s="1"/>
  <c r="AE22" i="77"/>
  <c r="AF22" i="77" s="1"/>
  <c r="AE21" i="77"/>
  <c r="AF21" i="77" s="1"/>
  <c r="AE20" i="77"/>
  <c r="AF20" i="77" s="1"/>
  <c r="AE11" i="77"/>
  <c r="AF11" i="77" s="1"/>
  <c r="AE10" i="77"/>
  <c r="AF10" i="77" s="1"/>
  <c r="AE9" i="77"/>
  <c r="AF9" i="77" s="1"/>
  <c r="AE7" i="77"/>
  <c r="AF7" i="77" s="1"/>
  <c r="AE8" i="77"/>
  <c r="AF8" i="77" s="1"/>
  <c r="AF12" i="77"/>
  <c r="AF13" i="77"/>
  <c r="AF14" i="77"/>
  <c r="AF15" i="77"/>
  <c r="AF16" i="77"/>
  <c r="AF17" i="77"/>
  <c r="AF18" i="77"/>
  <c r="AF19" i="77"/>
  <c r="AF23" i="77"/>
  <c r="AF24" i="77"/>
  <c r="AF25" i="77"/>
  <c r="AF28" i="77"/>
  <c r="AF29" i="77"/>
  <c r="AF30" i="77"/>
  <c r="AF31" i="77"/>
  <c r="AF32" i="77"/>
  <c r="AF33" i="77"/>
  <c r="AF34" i="77"/>
  <c r="AF35" i="77"/>
  <c r="AF36" i="77"/>
  <c r="AF38" i="77"/>
  <c r="AF39" i="77"/>
  <c r="AF40" i="77"/>
  <c r="AF41" i="77"/>
  <c r="AF42" i="77"/>
  <c r="AF6" i="77"/>
  <c r="AF43" i="77" l="1"/>
  <c r="T52" i="77" l="1"/>
  <c r="N14" i="1"/>
  <c r="C10" i="89"/>
  <c r="D10" i="89"/>
  <c r="C8" i="89"/>
  <c r="D8" i="89"/>
  <c r="C26" i="89"/>
  <c r="D26" i="89"/>
  <c r="L52" i="15"/>
  <c r="E10" i="89" l="1"/>
  <c r="E26" i="89"/>
  <c r="E8" i="89"/>
  <c r="E3" i="90" l="1"/>
  <c r="D10" i="90" s="1"/>
  <c r="B3" i="90"/>
  <c r="F10" i="90" l="1"/>
  <c r="E13" i="90" s="1"/>
  <c r="D9" i="90"/>
  <c r="F9" i="90" s="1"/>
  <c r="B13" i="90" s="1"/>
  <c r="C13" i="90" s="1"/>
  <c r="L10" i="40" s="1"/>
  <c r="D10" i="40" s="1"/>
  <c r="D21" i="89"/>
  <c r="D22" i="89"/>
  <c r="C22" i="89"/>
  <c r="C21" i="89"/>
  <c r="D20" i="89"/>
  <c r="C20" i="89"/>
  <c r="D33" i="89"/>
  <c r="D32" i="89"/>
  <c r="C33" i="89"/>
  <c r="C32" i="89"/>
  <c r="D31" i="89"/>
  <c r="D30" i="89"/>
  <c r="D29" i="89"/>
  <c r="D28" i="89"/>
  <c r="D27" i="89"/>
  <c r="D25" i="89"/>
  <c r="C31" i="89"/>
  <c r="C30" i="89"/>
  <c r="C29" i="89"/>
  <c r="C28" i="89"/>
  <c r="C27" i="89"/>
  <c r="C25" i="89"/>
  <c r="D24" i="89"/>
  <c r="C24" i="89"/>
  <c r="D19" i="89"/>
  <c r="D18" i="89"/>
  <c r="D17" i="89"/>
  <c r="D16" i="89"/>
  <c r="D15" i="89"/>
  <c r="D14" i="89"/>
  <c r="D13" i="89"/>
  <c r="D12" i="89"/>
  <c r="D11" i="89"/>
  <c r="D9" i="89"/>
  <c r="D7" i="89"/>
  <c r="D6" i="89"/>
  <c r="D4" i="89"/>
  <c r="D3" i="89"/>
  <c r="C19" i="89"/>
  <c r="C18" i="89"/>
  <c r="C17" i="89"/>
  <c r="C16" i="89"/>
  <c r="C15" i="89"/>
  <c r="C14" i="89"/>
  <c r="C13" i="89"/>
  <c r="C12" i="89"/>
  <c r="C11" i="89"/>
  <c r="C9" i="89"/>
  <c r="C7" i="89"/>
  <c r="C6" i="89"/>
  <c r="C4" i="89"/>
  <c r="C3" i="89"/>
  <c r="D5" i="89"/>
  <c r="C5" i="89"/>
  <c r="AR1154" i="83"/>
  <c r="AP1154" i="83"/>
  <c r="AP4" i="83"/>
  <c r="AP5" i="83"/>
  <c r="AP6" i="83"/>
  <c r="AP7" i="83"/>
  <c r="AP8" i="83"/>
  <c r="AP9" i="83"/>
  <c r="AP10" i="83"/>
  <c r="AP11" i="83"/>
  <c r="AP12" i="83"/>
  <c r="AP13" i="83"/>
  <c r="AP14" i="83"/>
  <c r="AP15" i="83"/>
  <c r="AP16" i="83"/>
  <c r="AP17" i="83"/>
  <c r="AP18" i="83"/>
  <c r="AP19" i="83"/>
  <c r="AP20" i="83"/>
  <c r="AP21" i="83"/>
  <c r="AP22" i="83"/>
  <c r="AP23" i="83"/>
  <c r="AP24" i="83"/>
  <c r="AP25" i="83"/>
  <c r="AP26" i="83"/>
  <c r="AP27" i="83"/>
  <c r="AP28" i="83"/>
  <c r="AP29" i="83"/>
  <c r="AP30" i="83"/>
  <c r="AP31" i="83"/>
  <c r="AP32" i="83"/>
  <c r="AP33" i="83"/>
  <c r="AP34" i="83"/>
  <c r="AP35" i="83"/>
  <c r="AP36" i="83"/>
  <c r="AP37" i="83"/>
  <c r="AP38" i="83"/>
  <c r="AP39" i="83"/>
  <c r="AP40" i="83"/>
  <c r="AP41" i="83"/>
  <c r="AP42" i="83"/>
  <c r="AP43" i="83"/>
  <c r="AP44" i="83"/>
  <c r="AP45" i="83"/>
  <c r="AP46" i="83"/>
  <c r="AP47" i="83"/>
  <c r="AP48" i="83"/>
  <c r="AP49" i="83"/>
  <c r="AP50" i="83"/>
  <c r="AP51" i="83"/>
  <c r="AP52" i="83"/>
  <c r="AP53" i="83"/>
  <c r="AP54" i="83"/>
  <c r="AP55" i="83"/>
  <c r="AP56" i="83"/>
  <c r="AP57" i="83"/>
  <c r="AP58" i="83"/>
  <c r="AP59" i="83"/>
  <c r="AP60" i="83"/>
  <c r="AP61" i="83"/>
  <c r="AP62" i="83"/>
  <c r="AP63" i="83"/>
  <c r="AP64" i="83"/>
  <c r="AP65" i="83"/>
  <c r="AP66" i="83"/>
  <c r="AP67" i="83"/>
  <c r="AP68" i="83"/>
  <c r="AP69" i="83"/>
  <c r="AP70" i="83"/>
  <c r="AP71" i="83"/>
  <c r="AP72" i="83"/>
  <c r="AP73" i="83"/>
  <c r="AP74" i="83"/>
  <c r="AP75" i="83"/>
  <c r="AP76" i="83"/>
  <c r="AP77" i="83"/>
  <c r="AP78" i="83"/>
  <c r="AP79" i="83"/>
  <c r="AP80" i="83"/>
  <c r="AP81" i="83"/>
  <c r="AP82" i="83"/>
  <c r="AP83" i="83"/>
  <c r="AP84" i="83"/>
  <c r="AP85" i="83"/>
  <c r="AP86" i="83"/>
  <c r="AP87" i="83"/>
  <c r="AP88" i="83"/>
  <c r="AP89" i="83"/>
  <c r="AP90" i="83"/>
  <c r="AP91" i="83"/>
  <c r="AP92" i="83"/>
  <c r="AP93" i="83"/>
  <c r="AP94" i="83"/>
  <c r="AP95" i="83"/>
  <c r="AP96" i="83"/>
  <c r="AP97" i="83"/>
  <c r="AP98" i="83"/>
  <c r="AP99" i="83"/>
  <c r="AP100" i="83"/>
  <c r="AP101" i="83"/>
  <c r="AP102" i="83"/>
  <c r="AP103" i="83"/>
  <c r="AP104" i="83"/>
  <c r="AP105" i="83"/>
  <c r="AP106" i="83"/>
  <c r="AP107" i="83"/>
  <c r="AP108" i="83"/>
  <c r="AP109" i="83"/>
  <c r="AP110" i="83"/>
  <c r="AP111" i="83"/>
  <c r="AP112" i="83"/>
  <c r="AP113" i="83"/>
  <c r="AP114" i="83"/>
  <c r="AP115" i="83"/>
  <c r="AP116" i="83"/>
  <c r="AP117" i="83"/>
  <c r="AP118" i="83"/>
  <c r="AP119" i="83"/>
  <c r="AP120" i="83"/>
  <c r="AP121" i="83"/>
  <c r="AP122" i="83"/>
  <c r="AP123" i="83"/>
  <c r="AP124" i="83"/>
  <c r="AP125" i="83"/>
  <c r="AP126" i="83"/>
  <c r="AP127" i="83"/>
  <c r="AP128" i="83"/>
  <c r="AP129" i="83"/>
  <c r="AP130" i="83"/>
  <c r="AP131" i="83"/>
  <c r="AP132" i="83"/>
  <c r="AP133" i="83"/>
  <c r="AP134" i="83"/>
  <c r="AP135" i="83"/>
  <c r="AP136" i="83"/>
  <c r="AP137" i="83"/>
  <c r="AP138" i="83"/>
  <c r="AP139" i="83"/>
  <c r="AP140" i="83"/>
  <c r="AP141" i="83"/>
  <c r="AP142" i="83"/>
  <c r="AP143" i="83"/>
  <c r="AP144" i="83"/>
  <c r="AP145" i="83"/>
  <c r="AP146" i="83"/>
  <c r="AP147" i="83"/>
  <c r="AP148" i="83"/>
  <c r="AP149" i="83"/>
  <c r="AP150" i="83"/>
  <c r="AP151" i="83"/>
  <c r="AP152" i="83"/>
  <c r="AP153" i="83"/>
  <c r="AP154" i="83"/>
  <c r="AP155" i="83"/>
  <c r="AP156" i="83"/>
  <c r="AP157" i="83"/>
  <c r="AP158" i="83"/>
  <c r="AP159" i="83"/>
  <c r="AP160" i="83"/>
  <c r="AP161" i="83"/>
  <c r="AP162" i="83"/>
  <c r="AP163" i="83"/>
  <c r="AP164" i="83"/>
  <c r="AP165" i="83"/>
  <c r="AP166" i="83"/>
  <c r="AP167" i="83"/>
  <c r="AP168" i="83"/>
  <c r="AP169" i="83"/>
  <c r="AP170" i="83"/>
  <c r="AP171" i="83"/>
  <c r="AP172" i="83"/>
  <c r="AP173" i="83"/>
  <c r="AP174" i="83"/>
  <c r="AP175" i="83"/>
  <c r="AP176" i="83"/>
  <c r="AP177" i="83"/>
  <c r="AP178" i="83"/>
  <c r="AP179" i="83"/>
  <c r="AP180" i="83"/>
  <c r="AP181" i="83"/>
  <c r="AP182" i="83"/>
  <c r="AP183" i="83"/>
  <c r="AP184" i="83"/>
  <c r="AP185" i="83"/>
  <c r="AP186" i="83"/>
  <c r="AP187" i="83"/>
  <c r="AP188" i="83"/>
  <c r="AP189" i="83"/>
  <c r="AP190" i="83"/>
  <c r="AP191" i="83"/>
  <c r="AP192" i="83"/>
  <c r="AP193" i="83"/>
  <c r="AP194" i="83"/>
  <c r="AP195" i="83"/>
  <c r="AP196" i="83"/>
  <c r="AP197" i="83"/>
  <c r="AP198" i="83"/>
  <c r="AP199" i="83"/>
  <c r="AP200" i="83"/>
  <c r="AP201" i="83"/>
  <c r="AP202" i="83"/>
  <c r="AP203" i="83"/>
  <c r="AP204" i="83"/>
  <c r="AP205" i="83"/>
  <c r="AP206" i="83"/>
  <c r="AP207" i="83"/>
  <c r="AP208" i="83"/>
  <c r="AP209" i="83"/>
  <c r="AP210" i="83"/>
  <c r="AP211" i="83"/>
  <c r="AP212" i="83"/>
  <c r="AP213" i="83"/>
  <c r="AP214" i="83"/>
  <c r="AP215" i="83"/>
  <c r="AP216" i="83"/>
  <c r="AP217" i="83"/>
  <c r="AP218" i="83"/>
  <c r="AP219" i="83"/>
  <c r="AP220" i="83"/>
  <c r="AP221" i="83"/>
  <c r="AP222" i="83"/>
  <c r="AP223" i="83"/>
  <c r="AP224" i="83"/>
  <c r="AP225" i="83"/>
  <c r="AP226" i="83"/>
  <c r="AP227" i="83"/>
  <c r="AP228" i="83"/>
  <c r="AP229" i="83"/>
  <c r="AP230" i="83"/>
  <c r="AP231" i="83"/>
  <c r="AP232" i="83"/>
  <c r="AP233" i="83"/>
  <c r="AP234" i="83"/>
  <c r="AP235" i="83"/>
  <c r="AP236" i="83"/>
  <c r="AP237" i="83"/>
  <c r="AP238" i="83"/>
  <c r="AP239" i="83"/>
  <c r="AP240" i="83"/>
  <c r="AP241" i="83"/>
  <c r="AP242" i="83"/>
  <c r="AP243" i="83"/>
  <c r="AP244" i="83"/>
  <c r="AP245" i="83"/>
  <c r="AP246" i="83"/>
  <c r="AP247" i="83"/>
  <c r="AP248" i="83"/>
  <c r="AP249" i="83"/>
  <c r="AP250" i="83"/>
  <c r="AP251" i="83"/>
  <c r="AP252" i="83"/>
  <c r="AP253" i="83"/>
  <c r="AP254" i="83"/>
  <c r="AP255" i="83"/>
  <c r="AP256" i="83"/>
  <c r="AP257" i="83"/>
  <c r="AP258" i="83"/>
  <c r="AP259" i="83"/>
  <c r="AP260" i="83"/>
  <c r="AP261" i="83"/>
  <c r="AP262" i="83"/>
  <c r="AP263" i="83"/>
  <c r="AP264" i="83"/>
  <c r="AP265" i="83"/>
  <c r="AP266" i="83"/>
  <c r="AP267" i="83"/>
  <c r="AP268" i="83"/>
  <c r="AP269" i="83"/>
  <c r="AP270" i="83"/>
  <c r="AP271" i="83"/>
  <c r="AP272" i="83"/>
  <c r="AP273" i="83"/>
  <c r="AP274" i="83"/>
  <c r="AP275" i="83"/>
  <c r="AP276" i="83"/>
  <c r="AP277" i="83"/>
  <c r="AP278" i="83"/>
  <c r="AP279" i="83"/>
  <c r="AP280" i="83"/>
  <c r="AP281" i="83"/>
  <c r="AP282" i="83"/>
  <c r="AP283" i="83"/>
  <c r="AP284" i="83"/>
  <c r="AP285" i="83"/>
  <c r="AP286" i="83"/>
  <c r="AP287" i="83"/>
  <c r="AP288" i="83"/>
  <c r="AP289" i="83"/>
  <c r="AP290" i="83"/>
  <c r="AP291" i="83"/>
  <c r="AP292" i="83"/>
  <c r="AP293" i="83"/>
  <c r="AP294" i="83"/>
  <c r="AP295" i="83"/>
  <c r="AP296" i="83"/>
  <c r="AP297" i="83"/>
  <c r="AP298" i="83"/>
  <c r="AP299" i="83"/>
  <c r="AP300" i="83"/>
  <c r="AP301" i="83"/>
  <c r="AP302" i="83"/>
  <c r="AP303" i="83"/>
  <c r="AP304" i="83"/>
  <c r="AP305" i="83"/>
  <c r="AP306" i="83"/>
  <c r="AP307" i="83"/>
  <c r="AP308" i="83"/>
  <c r="AP309" i="83"/>
  <c r="AP310" i="83"/>
  <c r="AP311" i="83"/>
  <c r="AP312" i="83"/>
  <c r="AP313" i="83"/>
  <c r="AP314" i="83"/>
  <c r="AP315" i="83"/>
  <c r="AP316" i="83"/>
  <c r="AP317" i="83"/>
  <c r="AP318" i="83"/>
  <c r="AP319" i="83"/>
  <c r="AP320" i="83"/>
  <c r="AP321" i="83"/>
  <c r="AP322" i="83"/>
  <c r="AP323" i="83"/>
  <c r="AP324" i="83"/>
  <c r="AP325" i="83"/>
  <c r="AP326" i="83"/>
  <c r="AP327" i="83"/>
  <c r="AP328" i="83"/>
  <c r="AP329" i="83"/>
  <c r="AP330" i="83"/>
  <c r="AP331" i="83"/>
  <c r="AP332" i="83"/>
  <c r="AP333" i="83"/>
  <c r="AP334" i="83"/>
  <c r="AP335" i="83"/>
  <c r="AP336" i="83"/>
  <c r="AP337" i="83"/>
  <c r="AP338" i="83"/>
  <c r="AP339" i="83"/>
  <c r="AP340" i="83"/>
  <c r="AP341" i="83"/>
  <c r="AP342" i="83"/>
  <c r="AP343" i="83"/>
  <c r="AP344" i="83"/>
  <c r="AP345" i="83"/>
  <c r="AP346" i="83"/>
  <c r="AP347" i="83"/>
  <c r="AP348" i="83"/>
  <c r="AP349" i="83"/>
  <c r="AP350" i="83"/>
  <c r="AP351" i="83"/>
  <c r="AP352" i="83"/>
  <c r="AP353" i="83"/>
  <c r="AP354" i="83"/>
  <c r="AP355" i="83"/>
  <c r="AP356" i="83"/>
  <c r="AP357" i="83"/>
  <c r="AP358" i="83"/>
  <c r="AP359" i="83"/>
  <c r="AP360" i="83"/>
  <c r="AP361" i="83"/>
  <c r="AP362" i="83"/>
  <c r="AP363" i="83"/>
  <c r="AP364" i="83"/>
  <c r="AP365" i="83"/>
  <c r="AP366" i="83"/>
  <c r="AP367" i="83"/>
  <c r="AP368" i="83"/>
  <c r="AP369" i="83"/>
  <c r="AP370" i="83"/>
  <c r="AP371" i="83"/>
  <c r="AP372" i="83"/>
  <c r="AP373" i="83"/>
  <c r="AP374" i="83"/>
  <c r="AP375" i="83"/>
  <c r="AP376" i="83"/>
  <c r="AP377" i="83"/>
  <c r="AP378" i="83"/>
  <c r="AP379" i="83"/>
  <c r="AP380" i="83"/>
  <c r="AP381" i="83"/>
  <c r="AP382" i="83"/>
  <c r="AP383" i="83"/>
  <c r="AP384" i="83"/>
  <c r="AP385" i="83"/>
  <c r="AP386" i="83"/>
  <c r="AP387" i="83"/>
  <c r="AP388" i="83"/>
  <c r="AP389" i="83"/>
  <c r="AP390" i="83"/>
  <c r="AP391" i="83"/>
  <c r="AP392" i="83"/>
  <c r="AP393" i="83"/>
  <c r="AP394" i="83"/>
  <c r="AP395" i="83"/>
  <c r="AP396" i="83"/>
  <c r="AP397" i="83"/>
  <c r="AP398" i="83"/>
  <c r="AP399" i="83"/>
  <c r="AP400" i="83"/>
  <c r="AP401" i="83"/>
  <c r="AP402" i="83"/>
  <c r="AP403" i="83"/>
  <c r="AP404" i="83"/>
  <c r="AP405" i="83"/>
  <c r="AP406" i="83"/>
  <c r="AP407" i="83"/>
  <c r="AP408" i="83"/>
  <c r="AP409" i="83"/>
  <c r="AP410" i="83"/>
  <c r="AP411" i="83"/>
  <c r="AP412" i="83"/>
  <c r="AP413" i="83"/>
  <c r="AP414" i="83"/>
  <c r="AP415" i="83"/>
  <c r="AP416" i="83"/>
  <c r="AP417" i="83"/>
  <c r="AP418" i="83"/>
  <c r="AP419" i="83"/>
  <c r="AP420" i="83"/>
  <c r="AP421" i="83"/>
  <c r="AP422" i="83"/>
  <c r="AP423" i="83"/>
  <c r="AP424" i="83"/>
  <c r="AP425" i="83"/>
  <c r="AP426" i="83"/>
  <c r="AP427" i="83"/>
  <c r="AP428" i="83"/>
  <c r="AP429" i="83"/>
  <c r="AP430" i="83"/>
  <c r="AP431" i="83"/>
  <c r="AP432" i="83"/>
  <c r="AP433" i="83"/>
  <c r="AP434" i="83"/>
  <c r="AP435" i="83"/>
  <c r="AP436" i="83"/>
  <c r="AP437" i="83"/>
  <c r="AP438" i="83"/>
  <c r="AP439" i="83"/>
  <c r="AP440" i="83"/>
  <c r="AP441" i="83"/>
  <c r="AP442" i="83"/>
  <c r="AP443" i="83"/>
  <c r="AP444" i="83"/>
  <c r="AP445" i="83"/>
  <c r="AP446" i="83"/>
  <c r="AP447" i="83"/>
  <c r="AP448" i="83"/>
  <c r="AP449" i="83"/>
  <c r="AP450" i="83"/>
  <c r="AP451" i="83"/>
  <c r="AP452" i="83"/>
  <c r="AP453" i="83"/>
  <c r="AP454" i="83"/>
  <c r="AP455" i="83"/>
  <c r="AP456" i="83"/>
  <c r="AP457" i="83"/>
  <c r="AP458" i="83"/>
  <c r="AP459" i="83"/>
  <c r="AP460" i="83"/>
  <c r="AP461" i="83"/>
  <c r="AP462" i="83"/>
  <c r="AP463" i="83"/>
  <c r="AP464" i="83"/>
  <c r="AP465" i="83"/>
  <c r="AP466" i="83"/>
  <c r="AP467" i="83"/>
  <c r="AP468" i="83"/>
  <c r="AP469" i="83"/>
  <c r="AP470" i="83"/>
  <c r="AP471" i="83"/>
  <c r="AP472" i="83"/>
  <c r="AP473" i="83"/>
  <c r="AP474" i="83"/>
  <c r="AP475" i="83"/>
  <c r="AP476" i="83"/>
  <c r="AP477" i="83"/>
  <c r="AP478" i="83"/>
  <c r="AP479" i="83"/>
  <c r="AP480" i="83"/>
  <c r="AP481" i="83"/>
  <c r="AP482" i="83"/>
  <c r="AP483" i="83"/>
  <c r="AP484" i="83"/>
  <c r="AP485" i="83"/>
  <c r="AP486" i="83"/>
  <c r="AP487" i="83"/>
  <c r="AP488" i="83"/>
  <c r="AP489" i="83"/>
  <c r="AP490" i="83"/>
  <c r="AP491" i="83"/>
  <c r="AP492" i="83"/>
  <c r="AP493" i="83"/>
  <c r="AP494" i="83"/>
  <c r="AP495" i="83"/>
  <c r="AP496" i="83"/>
  <c r="AP497" i="83"/>
  <c r="AP498" i="83"/>
  <c r="AP499" i="83"/>
  <c r="AP500" i="83"/>
  <c r="AP501" i="83"/>
  <c r="AP502" i="83"/>
  <c r="AP503" i="83"/>
  <c r="AP504" i="83"/>
  <c r="AP505" i="83"/>
  <c r="AP506" i="83"/>
  <c r="AP507" i="83"/>
  <c r="AP508" i="83"/>
  <c r="AP509" i="83"/>
  <c r="AP510" i="83"/>
  <c r="AP511" i="83"/>
  <c r="AP512" i="83"/>
  <c r="AP513" i="83"/>
  <c r="AP514" i="83"/>
  <c r="AP515" i="83"/>
  <c r="AP516" i="83"/>
  <c r="AP517" i="83"/>
  <c r="AP518" i="83"/>
  <c r="AP519" i="83"/>
  <c r="AP520" i="83"/>
  <c r="AP521" i="83"/>
  <c r="AP522" i="83"/>
  <c r="AP523" i="83"/>
  <c r="AP524" i="83"/>
  <c r="AP525" i="83"/>
  <c r="AP526" i="83"/>
  <c r="AP527" i="83"/>
  <c r="AP528" i="83"/>
  <c r="AP529" i="83"/>
  <c r="AP530" i="83"/>
  <c r="AP531" i="83"/>
  <c r="AP532" i="83"/>
  <c r="AP533" i="83"/>
  <c r="AP534" i="83"/>
  <c r="AP535" i="83"/>
  <c r="AP536" i="83"/>
  <c r="AP537" i="83"/>
  <c r="AP538" i="83"/>
  <c r="AP539" i="83"/>
  <c r="AP540" i="83"/>
  <c r="AP541" i="83"/>
  <c r="AP542" i="83"/>
  <c r="AP543" i="83"/>
  <c r="AP544" i="83"/>
  <c r="AP545" i="83"/>
  <c r="AP546" i="83"/>
  <c r="AP547" i="83"/>
  <c r="AP548" i="83"/>
  <c r="AP549" i="83"/>
  <c r="AP550" i="83"/>
  <c r="AP551" i="83"/>
  <c r="AP552" i="83"/>
  <c r="AP553" i="83"/>
  <c r="AP554" i="83"/>
  <c r="AP555" i="83"/>
  <c r="AP556" i="83"/>
  <c r="AP557" i="83"/>
  <c r="AP558" i="83"/>
  <c r="AP559" i="83"/>
  <c r="AP560" i="83"/>
  <c r="AP561" i="83"/>
  <c r="AP562" i="83"/>
  <c r="AP563" i="83"/>
  <c r="AP564" i="83"/>
  <c r="AP565" i="83"/>
  <c r="AP566" i="83"/>
  <c r="AP567" i="83"/>
  <c r="AP568" i="83"/>
  <c r="AP569" i="83"/>
  <c r="AP570" i="83"/>
  <c r="AP571" i="83"/>
  <c r="AP572" i="83"/>
  <c r="AP573" i="83"/>
  <c r="AP574" i="83"/>
  <c r="AP575" i="83"/>
  <c r="AP576" i="83"/>
  <c r="AP577" i="83"/>
  <c r="AP578" i="83"/>
  <c r="AP579" i="83"/>
  <c r="AP580" i="83"/>
  <c r="AP581" i="83"/>
  <c r="AP582" i="83"/>
  <c r="AP583" i="83"/>
  <c r="AP584" i="83"/>
  <c r="AP585" i="83"/>
  <c r="AP586" i="83"/>
  <c r="AP587" i="83"/>
  <c r="AP588" i="83"/>
  <c r="AP589" i="83"/>
  <c r="AP590" i="83"/>
  <c r="AP591" i="83"/>
  <c r="AP592" i="83"/>
  <c r="AP593" i="83"/>
  <c r="AP594" i="83"/>
  <c r="AP595" i="83"/>
  <c r="AP596" i="83"/>
  <c r="AP597" i="83"/>
  <c r="AP598" i="83"/>
  <c r="AP599" i="83"/>
  <c r="AP600" i="83"/>
  <c r="AP601" i="83"/>
  <c r="AP602" i="83"/>
  <c r="AP603" i="83"/>
  <c r="AP604" i="83"/>
  <c r="AP605" i="83"/>
  <c r="AP606" i="83"/>
  <c r="AP607" i="83"/>
  <c r="AP608" i="83"/>
  <c r="AP609" i="83"/>
  <c r="AP610" i="83"/>
  <c r="AP611" i="83"/>
  <c r="AP612" i="83"/>
  <c r="AP613" i="83"/>
  <c r="AP614" i="83"/>
  <c r="AP615" i="83"/>
  <c r="AP616" i="83"/>
  <c r="AP617" i="83"/>
  <c r="AP618" i="83"/>
  <c r="AP619" i="83"/>
  <c r="AP620" i="83"/>
  <c r="AP621" i="83"/>
  <c r="AP622" i="83"/>
  <c r="AP623" i="83"/>
  <c r="AP624" i="83"/>
  <c r="AP625" i="83"/>
  <c r="AP626" i="83"/>
  <c r="AP627" i="83"/>
  <c r="AP628" i="83"/>
  <c r="AP629" i="83"/>
  <c r="AP630" i="83"/>
  <c r="AP631" i="83"/>
  <c r="AP632" i="83"/>
  <c r="AP633" i="83"/>
  <c r="AP634" i="83"/>
  <c r="AP635" i="83"/>
  <c r="AP636" i="83"/>
  <c r="AP637" i="83"/>
  <c r="AP638" i="83"/>
  <c r="AP639" i="83"/>
  <c r="AP640" i="83"/>
  <c r="AP641" i="83"/>
  <c r="AP642" i="83"/>
  <c r="AP643" i="83"/>
  <c r="AP644" i="83"/>
  <c r="AP645" i="83"/>
  <c r="AP646" i="83"/>
  <c r="AP647" i="83"/>
  <c r="AP648" i="83"/>
  <c r="AP649" i="83"/>
  <c r="AP650" i="83"/>
  <c r="AP651" i="83"/>
  <c r="AP652" i="83"/>
  <c r="AP653" i="83"/>
  <c r="AP654" i="83"/>
  <c r="AP655" i="83"/>
  <c r="AP656" i="83"/>
  <c r="AP657" i="83"/>
  <c r="AP658" i="83"/>
  <c r="AP659" i="83"/>
  <c r="AP660" i="83"/>
  <c r="AP661" i="83"/>
  <c r="AP662" i="83"/>
  <c r="AP663" i="83"/>
  <c r="AP664" i="83"/>
  <c r="AP665" i="83"/>
  <c r="AP666" i="83"/>
  <c r="AP667" i="83"/>
  <c r="AP668" i="83"/>
  <c r="AP669" i="83"/>
  <c r="AP670" i="83"/>
  <c r="AP671" i="83"/>
  <c r="AP672" i="83"/>
  <c r="AP673" i="83"/>
  <c r="AP674" i="83"/>
  <c r="AP675" i="83"/>
  <c r="AP676" i="83"/>
  <c r="AP677" i="83"/>
  <c r="AP678" i="83"/>
  <c r="AP679" i="83"/>
  <c r="AP680" i="83"/>
  <c r="AP681" i="83"/>
  <c r="AP682" i="83"/>
  <c r="AP683" i="83"/>
  <c r="AP684" i="83"/>
  <c r="AP685" i="83"/>
  <c r="AP686" i="83"/>
  <c r="AP687" i="83"/>
  <c r="AP688" i="83"/>
  <c r="AP689" i="83"/>
  <c r="AP690" i="83"/>
  <c r="AP691" i="83"/>
  <c r="AP692" i="83"/>
  <c r="AP693" i="83"/>
  <c r="AP694" i="83"/>
  <c r="AP695" i="83"/>
  <c r="AP696" i="83"/>
  <c r="AP697" i="83"/>
  <c r="AP698" i="83"/>
  <c r="AP699" i="83"/>
  <c r="AP700" i="83"/>
  <c r="AP701" i="83"/>
  <c r="AP702" i="83"/>
  <c r="AP703" i="83"/>
  <c r="AP704" i="83"/>
  <c r="AP705" i="83"/>
  <c r="AP706" i="83"/>
  <c r="AP707" i="83"/>
  <c r="AP708" i="83"/>
  <c r="AP709" i="83"/>
  <c r="AP710" i="83"/>
  <c r="AP711" i="83"/>
  <c r="AP712" i="83"/>
  <c r="AP713" i="83"/>
  <c r="AP714" i="83"/>
  <c r="AP715" i="83"/>
  <c r="AP716" i="83"/>
  <c r="AP717" i="83"/>
  <c r="AP718" i="83"/>
  <c r="AP719" i="83"/>
  <c r="AP720" i="83"/>
  <c r="AP721" i="83"/>
  <c r="AP722" i="83"/>
  <c r="AP723" i="83"/>
  <c r="AP724" i="83"/>
  <c r="AP725" i="83"/>
  <c r="AP726" i="83"/>
  <c r="AP727" i="83"/>
  <c r="AP728" i="83"/>
  <c r="AP729" i="83"/>
  <c r="AP730" i="83"/>
  <c r="AP731" i="83"/>
  <c r="AP732" i="83"/>
  <c r="AP733" i="83"/>
  <c r="AP734" i="83"/>
  <c r="AP735" i="83"/>
  <c r="AP736" i="83"/>
  <c r="AP737" i="83"/>
  <c r="AP738" i="83"/>
  <c r="AP739" i="83"/>
  <c r="AP740" i="83"/>
  <c r="AP741" i="83"/>
  <c r="AP742" i="83"/>
  <c r="AP743" i="83"/>
  <c r="AP744" i="83"/>
  <c r="AP745" i="83"/>
  <c r="AP746" i="83"/>
  <c r="AP747" i="83"/>
  <c r="AP748" i="83"/>
  <c r="AP749" i="83"/>
  <c r="AP750" i="83"/>
  <c r="AP751" i="83"/>
  <c r="AP752" i="83"/>
  <c r="AP753" i="83"/>
  <c r="AP754" i="83"/>
  <c r="AP755" i="83"/>
  <c r="AP756" i="83"/>
  <c r="AP757" i="83"/>
  <c r="AP758" i="83"/>
  <c r="AP759" i="83"/>
  <c r="AP760" i="83"/>
  <c r="AP761" i="83"/>
  <c r="AP762" i="83"/>
  <c r="AP763" i="83"/>
  <c r="AP764" i="83"/>
  <c r="AP765" i="83"/>
  <c r="AP766" i="83"/>
  <c r="AP767" i="83"/>
  <c r="AP768" i="83"/>
  <c r="AP769" i="83"/>
  <c r="AP770" i="83"/>
  <c r="AP771" i="83"/>
  <c r="AP772" i="83"/>
  <c r="AP773" i="83"/>
  <c r="AP774" i="83"/>
  <c r="AP775" i="83"/>
  <c r="AP776" i="83"/>
  <c r="AP777" i="83"/>
  <c r="AP778" i="83"/>
  <c r="AP779" i="83"/>
  <c r="AP780" i="83"/>
  <c r="AP781" i="83"/>
  <c r="AP782" i="83"/>
  <c r="AP783" i="83"/>
  <c r="AP784" i="83"/>
  <c r="AP785" i="83"/>
  <c r="AP786" i="83"/>
  <c r="AP787" i="83"/>
  <c r="AP788" i="83"/>
  <c r="AP789" i="83"/>
  <c r="AP790" i="83"/>
  <c r="AP791" i="83"/>
  <c r="AP792" i="83"/>
  <c r="AP793" i="83"/>
  <c r="AP794" i="83"/>
  <c r="AP795" i="83"/>
  <c r="AP796" i="83"/>
  <c r="AP797" i="83"/>
  <c r="AP798" i="83"/>
  <c r="AP799" i="83"/>
  <c r="AP800" i="83"/>
  <c r="AP801" i="83"/>
  <c r="AP802" i="83"/>
  <c r="AP803" i="83"/>
  <c r="AP804" i="83"/>
  <c r="AP805" i="83"/>
  <c r="AP806" i="83"/>
  <c r="AP807" i="83"/>
  <c r="AP808" i="83"/>
  <c r="AP809" i="83"/>
  <c r="AP810" i="83"/>
  <c r="AP811" i="83"/>
  <c r="AP812" i="83"/>
  <c r="AP813" i="83"/>
  <c r="AP814" i="83"/>
  <c r="AP815" i="83"/>
  <c r="AP816" i="83"/>
  <c r="AP817" i="83"/>
  <c r="AP818" i="83"/>
  <c r="AP819" i="83"/>
  <c r="AP820" i="83"/>
  <c r="AP821" i="83"/>
  <c r="AP822" i="83"/>
  <c r="AP823" i="83"/>
  <c r="AP824" i="83"/>
  <c r="AP825" i="83"/>
  <c r="AP826" i="83"/>
  <c r="AP827" i="83"/>
  <c r="AP828" i="83"/>
  <c r="AP829" i="83"/>
  <c r="AP830" i="83"/>
  <c r="AP831" i="83"/>
  <c r="AP832" i="83"/>
  <c r="AP833" i="83"/>
  <c r="AP834" i="83"/>
  <c r="AP835" i="83"/>
  <c r="AP836" i="83"/>
  <c r="AP837" i="83"/>
  <c r="AP838" i="83"/>
  <c r="AP839" i="83"/>
  <c r="AP840" i="83"/>
  <c r="AP841" i="83"/>
  <c r="AP842" i="83"/>
  <c r="AP843" i="83"/>
  <c r="AP844" i="83"/>
  <c r="AP845" i="83"/>
  <c r="AP846" i="83"/>
  <c r="AP847" i="83"/>
  <c r="AP848" i="83"/>
  <c r="AP849" i="83"/>
  <c r="AP850" i="83"/>
  <c r="AP851" i="83"/>
  <c r="AP852" i="83"/>
  <c r="AP853" i="83"/>
  <c r="AP854" i="83"/>
  <c r="AP855" i="83"/>
  <c r="AP856" i="83"/>
  <c r="AP857" i="83"/>
  <c r="AP858" i="83"/>
  <c r="AP859" i="83"/>
  <c r="AP860" i="83"/>
  <c r="AP861" i="83"/>
  <c r="AP862" i="83"/>
  <c r="AP863" i="83"/>
  <c r="AP864" i="83"/>
  <c r="AP865" i="83"/>
  <c r="AP866" i="83"/>
  <c r="AP867" i="83"/>
  <c r="AP868" i="83"/>
  <c r="AP869" i="83"/>
  <c r="AP870" i="83"/>
  <c r="AP871" i="83"/>
  <c r="AP872" i="83"/>
  <c r="AP873" i="83"/>
  <c r="AP874" i="83"/>
  <c r="AP875" i="83"/>
  <c r="AP876" i="83"/>
  <c r="AP877" i="83"/>
  <c r="AP878" i="83"/>
  <c r="AP879" i="83"/>
  <c r="AP880" i="83"/>
  <c r="AP881" i="83"/>
  <c r="AP882" i="83"/>
  <c r="AP883" i="83"/>
  <c r="AP884" i="83"/>
  <c r="AP885" i="83"/>
  <c r="AP886" i="83"/>
  <c r="AP887" i="83"/>
  <c r="AP888" i="83"/>
  <c r="AP889" i="83"/>
  <c r="AP890" i="83"/>
  <c r="AP891" i="83"/>
  <c r="AP892" i="83"/>
  <c r="AP893" i="83"/>
  <c r="AP894" i="83"/>
  <c r="AP895" i="83"/>
  <c r="AP896" i="83"/>
  <c r="AP897" i="83"/>
  <c r="AP898" i="83"/>
  <c r="AP899" i="83"/>
  <c r="AP900" i="83"/>
  <c r="AP901" i="83"/>
  <c r="AP902" i="83"/>
  <c r="AP903" i="83"/>
  <c r="AP904" i="83"/>
  <c r="AP905" i="83"/>
  <c r="AP906" i="83"/>
  <c r="AP907" i="83"/>
  <c r="AP908" i="83"/>
  <c r="AP909" i="83"/>
  <c r="AP910" i="83"/>
  <c r="AP911" i="83"/>
  <c r="AP912" i="83"/>
  <c r="AP913" i="83"/>
  <c r="AP914" i="83"/>
  <c r="AP915" i="83"/>
  <c r="AP916" i="83"/>
  <c r="AP917" i="83"/>
  <c r="AP918" i="83"/>
  <c r="AP919" i="83"/>
  <c r="AP920" i="83"/>
  <c r="AP921" i="83"/>
  <c r="AP922" i="83"/>
  <c r="AP923" i="83"/>
  <c r="AP924" i="83"/>
  <c r="AP925" i="83"/>
  <c r="AP926" i="83"/>
  <c r="AP927" i="83"/>
  <c r="AP928" i="83"/>
  <c r="AP929" i="83"/>
  <c r="AP930" i="83"/>
  <c r="AP931" i="83"/>
  <c r="AP932" i="83"/>
  <c r="AP933" i="83"/>
  <c r="AP934" i="83"/>
  <c r="AP935" i="83"/>
  <c r="AP936" i="83"/>
  <c r="AP937" i="83"/>
  <c r="AP938" i="83"/>
  <c r="AP939" i="83"/>
  <c r="AP940" i="83"/>
  <c r="AP941" i="83"/>
  <c r="AP942" i="83"/>
  <c r="AP943" i="83"/>
  <c r="AP944" i="83"/>
  <c r="AP945" i="83"/>
  <c r="AP946" i="83"/>
  <c r="AP947" i="83"/>
  <c r="AP948" i="83"/>
  <c r="AP949" i="83"/>
  <c r="AP950" i="83"/>
  <c r="AP951" i="83"/>
  <c r="AP952" i="83"/>
  <c r="AP953" i="83"/>
  <c r="AP954" i="83"/>
  <c r="AP955" i="83"/>
  <c r="AP956" i="83"/>
  <c r="AP957" i="83"/>
  <c r="AP958" i="83"/>
  <c r="AP959" i="83"/>
  <c r="AP960" i="83"/>
  <c r="AP961" i="83"/>
  <c r="AP962" i="83"/>
  <c r="AP963" i="83"/>
  <c r="AP964" i="83"/>
  <c r="AP965" i="83"/>
  <c r="AP966" i="83"/>
  <c r="AP967" i="83"/>
  <c r="AP968" i="83"/>
  <c r="AP969" i="83"/>
  <c r="AP970" i="83"/>
  <c r="AP971" i="83"/>
  <c r="AP972" i="83"/>
  <c r="AP973" i="83"/>
  <c r="AP974" i="83"/>
  <c r="AP975" i="83"/>
  <c r="AP976" i="83"/>
  <c r="AP977" i="83"/>
  <c r="AP978" i="83"/>
  <c r="AP979" i="83"/>
  <c r="AP980" i="83"/>
  <c r="AP981" i="83"/>
  <c r="AP982" i="83"/>
  <c r="AP983" i="83"/>
  <c r="AP984" i="83"/>
  <c r="AP985" i="83"/>
  <c r="AP986" i="83"/>
  <c r="AP987" i="83"/>
  <c r="AP988" i="83"/>
  <c r="AP989" i="83"/>
  <c r="AP990" i="83"/>
  <c r="AP991" i="83"/>
  <c r="AP992" i="83"/>
  <c r="AP993" i="83"/>
  <c r="AP994" i="83"/>
  <c r="AP995" i="83"/>
  <c r="AP996" i="83"/>
  <c r="AP997" i="83"/>
  <c r="AP998" i="83"/>
  <c r="AP999" i="83"/>
  <c r="AP1000" i="83"/>
  <c r="AP1001" i="83"/>
  <c r="AP1002" i="83"/>
  <c r="AP1003" i="83"/>
  <c r="AP1004" i="83"/>
  <c r="AP1005" i="83"/>
  <c r="AP1006" i="83"/>
  <c r="AP1007" i="83"/>
  <c r="AP1008" i="83"/>
  <c r="AP1009" i="83"/>
  <c r="AP1010" i="83"/>
  <c r="AP1011" i="83"/>
  <c r="AP1012" i="83"/>
  <c r="AP1013" i="83"/>
  <c r="AP1014" i="83"/>
  <c r="AP1015" i="83"/>
  <c r="AP1016" i="83"/>
  <c r="AP1017" i="83"/>
  <c r="AP1018" i="83"/>
  <c r="AP1019" i="83"/>
  <c r="AP1020" i="83"/>
  <c r="AP1021" i="83"/>
  <c r="AP1022" i="83"/>
  <c r="AP1023" i="83"/>
  <c r="AP1024" i="83"/>
  <c r="AP1025" i="83"/>
  <c r="AP1026" i="83"/>
  <c r="AP1027" i="83"/>
  <c r="AP1028" i="83"/>
  <c r="AP1029" i="83"/>
  <c r="AP1030" i="83"/>
  <c r="AP1031" i="83"/>
  <c r="AP1032" i="83"/>
  <c r="AP1033" i="83"/>
  <c r="AP1034" i="83"/>
  <c r="AP1035" i="83"/>
  <c r="AP1036" i="83"/>
  <c r="AP1037" i="83"/>
  <c r="AP1038" i="83"/>
  <c r="AP1039" i="83"/>
  <c r="AP1040" i="83"/>
  <c r="AP1041" i="83"/>
  <c r="AP1042" i="83"/>
  <c r="AP1043" i="83"/>
  <c r="AP1044" i="83"/>
  <c r="AP1045" i="83"/>
  <c r="AP1046" i="83"/>
  <c r="AP1047" i="83"/>
  <c r="AP1048" i="83"/>
  <c r="AP1049" i="83"/>
  <c r="AP1050" i="83"/>
  <c r="AP1051" i="83"/>
  <c r="AP1052" i="83"/>
  <c r="AP1053" i="83"/>
  <c r="AP1054" i="83"/>
  <c r="AP1055" i="83"/>
  <c r="AP1056" i="83"/>
  <c r="AP1057" i="83"/>
  <c r="AP1058" i="83"/>
  <c r="AP1059" i="83"/>
  <c r="AP1060" i="83"/>
  <c r="AP1061" i="83"/>
  <c r="AP1062" i="83"/>
  <c r="AP1063" i="83"/>
  <c r="AP1064" i="83"/>
  <c r="AP1065" i="83"/>
  <c r="AP1066" i="83"/>
  <c r="AP1067" i="83"/>
  <c r="AP1068" i="83"/>
  <c r="AP1069" i="83"/>
  <c r="AP1070" i="83"/>
  <c r="AP1071" i="83"/>
  <c r="AP1072" i="83"/>
  <c r="AP1073" i="83"/>
  <c r="AP1074" i="83"/>
  <c r="AP1075" i="83"/>
  <c r="AP1076" i="83"/>
  <c r="AP1077" i="83"/>
  <c r="AP1078" i="83"/>
  <c r="AP1079" i="83"/>
  <c r="AP1080" i="83"/>
  <c r="AP1081" i="83"/>
  <c r="AP1082" i="83"/>
  <c r="AP1083" i="83"/>
  <c r="AP1084" i="83"/>
  <c r="AP1085" i="83"/>
  <c r="AP1086" i="83"/>
  <c r="AP1087" i="83"/>
  <c r="AP1088" i="83"/>
  <c r="AP1089" i="83"/>
  <c r="AP1090" i="83"/>
  <c r="AP1091" i="83"/>
  <c r="AP1092" i="83"/>
  <c r="AP1093" i="83"/>
  <c r="AP1094" i="83"/>
  <c r="AP1095" i="83"/>
  <c r="AP1096" i="83"/>
  <c r="AP1097" i="83"/>
  <c r="AP1098" i="83"/>
  <c r="AP1099" i="83"/>
  <c r="AP1100" i="83"/>
  <c r="AP1101" i="83"/>
  <c r="AP1102" i="83"/>
  <c r="AP1103" i="83"/>
  <c r="AP1104" i="83"/>
  <c r="AP1105" i="83"/>
  <c r="AP1106" i="83"/>
  <c r="AP1107" i="83"/>
  <c r="AP1108" i="83"/>
  <c r="AP1109" i="83"/>
  <c r="AP1110" i="83"/>
  <c r="AP1111" i="83"/>
  <c r="AP1112" i="83"/>
  <c r="AP1113" i="83"/>
  <c r="AP1114" i="83"/>
  <c r="AP1115" i="83"/>
  <c r="AP1116" i="83"/>
  <c r="AP1117" i="83"/>
  <c r="AP1118" i="83"/>
  <c r="AP1119" i="83"/>
  <c r="AP1120" i="83"/>
  <c r="AP1121" i="83"/>
  <c r="AP1122" i="83"/>
  <c r="AP1123" i="83"/>
  <c r="AP1124" i="83"/>
  <c r="AP1125" i="83"/>
  <c r="AP1126" i="83"/>
  <c r="AP1127" i="83"/>
  <c r="AP1128" i="83"/>
  <c r="AP1129" i="83"/>
  <c r="AP1130" i="83"/>
  <c r="AP1131" i="83"/>
  <c r="AP1132" i="83"/>
  <c r="AP1133" i="83"/>
  <c r="AP1134" i="83"/>
  <c r="AP1135" i="83"/>
  <c r="AP1136" i="83"/>
  <c r="AP1137" i="83"/>
  <c r="AP1138" i="83"/>
  <c r="AP1139" i="83"/>
  <c r="AP1140" i="83"/>
  <c r="AP1141" i="83"/>
  <c r="AP1142" i="83"/>
  <c r="AP1143" i="83"/>
  <c r="AP1144" i="83"/>
  <c r="AP1145" i="83"/>
  <c r="AP1146" i="83"/>
  <c r="AP1147" i="83"/>
  <c r="AP1148" i="83"/>
  <c r="AP1149" i="83"/>
  <c r="AP1150" i="83"/>
  <c r="AP1151" i="83"/>
  <c r="AP3" i="83"/>
  <c r="I7" i="40"/>
  <c r="G7" i="40"/>
  <c r="E7" i="40"/>
  <c r="I34" i="40"/>
  <c r="G34" i="40"/>
  <c r="E34" i="40"/>
  <c r="F70" i="40"/>
  <c r="E70" i="40"/>
  <c r="I6" i="40"/>
  <c r="I5" i="40"/>
  <c r="G6" i="40"/>
  <c r="G5" i="40"/>
  <c r="D70" i="40"/>
  <c r="E6" i="40"/>
  <c r="E5" i="40"/>
  <c r="B16" i="90" l="1"/>
  <c r="C16" i="90" s="1"/>
  <c r="D34" i="89"/>
  <c r="C34" i="89"/>
  <c r="C23" i="89"/>
  <c r="D23" i="89"/>
  <c r="E22" i="89"/>
  <c r="E21" i="89"/>
  <c r="E20" i="89"/>
  <c r="E32" i="89"/>
  <c r="E33" i="89"/>
  <c r="E28" i="89"/>
  <c r="E30" i="89"/>
  <c r="E25" i="89"/>
  <c r="E27" i="89"/>
  <c r="E29" i="89"/>
  <c r="E31" i="89"/>
  <c r="E3" i="89"/>
  <c r="E6" i="89"/>
  <c r="E12" i="89"/>
  <c r="E14" i="89"/>
  <c r="E16" i="89"/>
  <c r="E18" i="89"/>
  <c r="E24" i="89"/>
  <c r="E5" i="89"/>
  <c r="E4" i="89"/>
  <c r="E7" i="89"/>
  <c r="E9" i="89"/>
  <c r="E11" i="89"/>
  <c r="E13" i="89"/>
  <c r="E15" i="89"/>
  <c r="E17" i="89"/>
  <c r="E19" i="89"/>
  <c r="L14" i="1"/>
  <c r="D66" i="40"/>
  <c r="E66" i="40" s="1"/>
  <c r="F66" i="40" s="1"/>
  <c r="G66" i="40" s="1"/>
  <c r="H66" i="40" s="1"/>
  <c r="I66" i="40" s="1"/>
  <c r="J66" i="40" s="1"/>
  <c r="K66" i="40" s="1"/>
  <c r="L66" i="40" s="1"/>
  <c r="M66" i="40" s="1"/>
  <c r="N66" i="40" s="1"/>
  <c r="O66" i="40" s="1"/>
  <c r="C70" i="40"/>
  <c r="D35" i="89" l="1"/>
  <c r="C35" i="89"/>
  <c r="E34" i="89"/>
  <c r="E23" i="89"/>
  <c r="L48" i="77"/>
  <c r="AL13" i="3" s="1"/>
  <c r="L47" i="77"/>
  <c r="L46" i="77"/>
  <c r="Y6" i="1"/>
  <c r="AC7" i="77"/>
  <c r="AD7" i="77" s="1"/>
  <c r="AG7" i="77" s="1"/>
  <c r="AC8" i="77"/>
  <c r="AD8" i="77" s="1"/>
  <c r="AG8" i="77" s="1"/>
  <c r="AC9" i="77"/>
  <c r="AD9" i="77" s="1"/>
  <c r="AG9" i="77" s="1"/>
  <c r="AC10" i="77"/>
  <c r="AD10" i="77" s="1"/>
  <c r="AG10" i="77" s="1"/>
  <c r="AC11" i="77"/>
  <c r="AD11" i="77" s="1"/>
  <c r="AG11" i="77" s="1"/>
  <c r="AC12" i="77"/>
  <c r="AD12" i="77" s="1"/>
  <c r="AG12" i="77" s="1"/>
  <c r="AC13" i="77"/>
  <c r="AD13" i="77" s="1"/>
  <c r="AG13" i="77" s="1"/>
  <c r="AC14" i="77"/>
  <c r="AD14" i="77" s="1"/>
  <c r="AG14" i="77" s="1"/>
  <c r="AC15" i="77"/>
  <c r="AD15" i="77" s="1"/>
  <c r="AG15" i="77" s="1"/>
  <c r="AC16" i="77"/>
  <c r="AD16" i="77" s="1"/>
  <c r="AG16" i="77" s="1"/>
  <c r="AC17" i="77"/>
  <c r="AD17" i="77" s="1"/>
  <c r="AG17" i="77" s="1"/>
  <c r="AC18" i="77"/>
  <c r="AD18" i="77" s="1"/>
  <c r="AG18" i="77" s="1"/>
  <c r="AC19" i="77"/>
  <c r="AD19" i="77" s="1"/>
  <c r="AG19" i="77" s="1"/>
  <c r="AC20" i="77"/>
  <c r="AD20" i="77" s="1"/>
  <c r="AG20" i="77" s="1"/>
  <c r="AC21" i="77"/>
  <c r="AD21" i="77" s="1"/>
  <c r="AG21" i="77" s="1"/>
  <c r="AC22" i="77"/>
  <c r="AD22" i="77" s="1"/>
  <c r="AG22" i="77" s="1"/>
  <c r="AC23" i="77"/>
  <c r="AD23" i="77" s="1"/>
  <c r="AG23" i="77" s="1"/>
  <c r="AC24" i="77"/>
  <c r="AD24" i="77" s="1"/>
  <c r="AG24" i="77" s="1"/>
  <c r="AC25" i="77"/>
  <c r="AD25" i="77" s="1"/>
  <c r="AG25" i="77" s="1"/>
  <c r="AC26" i="77"/>
  <c r="AD26" i="77" s="1"/>
  <c r="AG26" i="77" s="1"/>
  <c r="AC27" i="77"/>
  <c r="AD27" i="77" s="1"/>
  <c r="AG27" i="77" s="1"/>
  <c r="AC28" i="77"/>
  <c r="AD28" i="77" s="1"/>
  <c r="AG28" i="77" s="1"/>
  <c r="AC29" i="77"/>
  <c r="AD29" i="77" s="1"/>
  <c r="AG29" i="77" s="1"/>
  <c r="AC30" i="77"/>
  <c r="AD30" i="77" s="1"/>
  <c r="AG30" i="77" s="1"/>
  <c r="AC31" i="77"/>
  <c r="AD31" i="77" s="1"/>
  <c r="AG31" i="77" s="1"/>
  <c r="AC32" i="77"/>
  <c r="AD32" i="77" s="1"/>
  <c r="AG32" i="77" s="1"/>
  <c r="AC33" i="77"/>
  <c r="AD33" i="77" s="1"/>
  <c r="AG33" i="77" s="1"/>
  <c r="AC34" i="77"/>
  <c r="AD34" i="77" s="1"/>
  <c r="AG34" i="77" s="1"/>
  <c r="AC35" i="77"/>
  <c r="AD35" i="77" s="1"/>
  <c r="AG35" i="77" s="1"/>
  <c r="AC36" i="77"/>
  <c r="AD36" i="77" s="1"/>
  <c r="AG36" i="77" s="1"/>
  <c r="AC37" i="77"/>
  <c r="AD37" i="77" s="1"/>
  <c r="AG37" i="77" s="1"/>
  <c r="AC38" i="77"/>
  <c r="AD38" i="77" s="1"/>
  <c r="AG38" i="77" s="1"/>
  <c r="AC39" i="77"/>
  <c r="AD39" i="77" s="1"/>
  <c r="AG39" i="77" s="1"/>
  <c r="AC40" i="77"/>
  <c r="AD40" i="77" s="1"/>
  <c r="AG40" i="77" s="1"/>
  <c r="AC41" i="77"/>
  <c r="AD41" i="77" s="1"/>
  <c r="AG41" i="77" s="1"/>
  <c r="AC42" i="77"/>
  <c r="AD42" i="77" s="1"/>
  <c r="AG42" i="77" s="1"/>
  <c r="AC6" i="77"/>
  <c r="AD6" i="77" l="1"/>
  <c r="AG6" i="77" s="1"/>
  <c r="AC45" i="77"/>
  <c r="E35" i="89"/>
  <c r="L49" i="77"/>
  <c r="M46" i="77" s="1"/>
  <c r="K59" i="79"/>
  <c r="P74" i="79" s="1"/>
  <c r="F59" i="79"/>
  <c r="Q58" i="79"/>
  <c r="L52" i="79"/>
  <c r="Q72" i="79" s="1"/>
  <c r="Q51" i="79"/>
  <c r="J50" i="79"/>
  <c r="M47" i="79"/>
  <c r="D46" i="79"/>
  <c r="F33" i="79"/>
  <c r="F61" i="79" s="1"/>
  <c r="F31" i="79"/>
  <c r="F23" i="79"/>
  <c r="D24" i="79" s="1"/>
  <c r="D22" i="79"/>
  <c r="F21" i="79"/>
  <c r="F20" i="79"/>
  <c r="M19" i="79"/>
  <c r="F18" i="79"/>
  <c r="M17" i="79"/>
  <c r="F17" i="79"/>
  <c r="F15" i="79"/>
  <c r="K59" i="78"/>
  <c r="P74" i="78" s="1"/>
  <c r="F59" i="78"/>
  <c r="Q58" i="78"/>
  <c r="L52" i="78"/>
  <c r="Q72" i="78" s="1"/>
  <c r="Q51" i="78"/>
  <c r="J50" i="78"/>
  <c r="M47" i="78"/>
  <c r="D46" i="78"/>
  <c r="F33" i="78"/>
  <c r="F61" i="78" s="1"/>
  <c r="F31" i="78"/>
  <c r="F23" i="78"/>
  <c r="D24" i="78" s="1"/>
  <c r="F21" i="78"/>
  <c r="F20" i="78"/>
  <c r="M19" i="78"/>
  <c r="F18" i="78"/>
  <c r="M17" i="78"/>
  <c r="F17" i="78"/>
  <c r="F15" i="78"/>
  <c r="F16" i="4"/>
  <c r="B5" i="4"/>
  <c r="B7" i="4"/>
  <c r="D3" i="4"/>
  <c r="B1" i="90" s="1"/>
  <c r="O43" i="77"/>
  <c r="L43" i="77"/>
  <c r="C36" i="89" s="1"/>
  <c r="E36" i="89" s="1"/>
  <c r="F43" i="77"/>
  <c r="A3" i="3" s="1"/>
  <c r="AA42" i="77"/>
  <c r="AA41" i="77"/>
  <c r="AA40" i="77"/>
  <c r="AA39" i="77"/>
  <c r="AA38" i="77"/>
  <c r="AA37" i="77"/>
  <c r="AA36" i="77"/>
  <c r="AA35" i="77"/>
  <c r="AA34" i="77"/>
  <c r="AA33" i="77"/>
  <c r="AA32" i="77"/>
  <c r="AA31" i="77"/>
  <c r="AA30" i="77"/>
  <c r="AA29" i="77"/>
  <c r="AA28" i="77"/>
  <c r="AA27" i="77"/>
  <c r="AA26" i="77"/>
  <c r="AA25" i="77"/>
  <c r="AA24" i="77"/>
  <c r="AA23" i="77"/>
  <c r="AA22" i="77"/>
  <c r="AA21" i="77"/>
  <c r="AA20" i="77"/>
  <c r="AA19" i="77"/>
  <c r="AA18" i="77"/>
  <c r="AA17" i="77"/>
  <c r="AA16" i="77"/>
  <c r="AA15" i="77"/>
  <c r="AA14" i="77"/>
  <c r="AA13" i="77"/>
  <c r="AA12" i="77"/>
  <c r="AA11" i="77"/>
  <c r="AA10" i="77"/>
  <c r="AA9" i="77"/>
  <c r="AA8" i="77"/>
  <c r="AA7" i="77"/>
  <c r="AA6" i="77"/>
  <c r="C5" i="90" l="1"/>
  <c r="D5" i="90" s="1"/>
  <c r="C4" i="90"/>
  <c r="D4" i="90" s="1"/>
  <c r="C3" i="90"/>
  <c r="D22" i="78"/>
  <c r="D23" i="78"/>
  <c r="D23" i="79"/>
  <c r="Q59" i="78"/>
  <c r="Q59" i="79"/>
  <c r="F19" i="6"/>
  <c r="AD43" i="77"/>
  <c r="M47" i="77"/>
  <c r="M48" i="77"/>
  <c r="P61" i="79"/>
  <c r="P61" i="78"/>
  <c r="F12" i="90" l="1"/>
  <c r="G10" i="90"/>
  <c r="E12" i="90" s="1"/>
  <c r="D3" i="90"/>
  <c r="AD5" i="71"/>
  <c r="AH5" i="71"/>
  <c r="AG5" i="71"/>
  <c r="AE5" i="71"/>
  <c r="AF5" i="71" s="1"/>
  <c r="Q5" i="71"/>
  <c r="P5" i="71"/>
  <c r="O5" i="71"/>
  <c r="N5" i="71"/>
  <c r="G20" i="43" l="1"/>
  <c r="E41" i="43" s="1"/>
  <c r="C41" i="43" s="1"/>
  <c r="L3" i="71"/>
  <c r="AH3" i="71" s="1"/>
  <c r="K3" i="71"/>
  <c r="J3" i="71"/>
  <c r="AE3" i="71" s="1"/>
  <c r="I3" i="71"/>
  <c r="AH6" i="71"/>
  <c r="AG6" i="71"/>
  <c r="AE6" i="71"/>
  <c r="AF6" i="71" s="1"/>
  <c r="AD6" i="71"/>
  <c r="Q6" i="71"/>
  <c r="Q7" i="71"/>
  <c r="P6" i="71"/>
  <c r="P7" i="71"/>
  <c r="O6" i="71"/>
  <c r="O7" i="71"/>
  <c r="N6" i="71"/>
  <c r="N7" i="71"/>
  <c r="N8" i="71"/>
  <c r="AH7" i="71"/>
  <c r="AG7" i="71"/>
  <c r="AE7" i="71"/>
  <c r="AF7" i="71"/>
  <c r="AD7" i="71"/>
  <c r="Q8" i="71"/>
  <c r="P8" i="71"/>
  <c r="O8" i="71"/>
  <c r="M19" i="43"/>
  <c r="D10" i="71"/>
  <c r="AH8" i="71"/>
  <c r="AG8" i="71"/>
  <c r="AE8" i="71"/>
  <c r="AF8" i="71" s="1"/>
  <c r="AD8" i="71"/>
  <c r="AD9" i="71"/>
  <c r="AG9" i="71"/>
  <c r="AH9" i="71"/>
  <c r="AE9" i="71"/>
  <c r="AF9" i="71" s="1"/>
  <c r="N9" i="71"/>
  <c r="Q9" i="71"/>
  <c r="P9" i="71"/>
  <c r="O9" i="71"/>
  <c r="Q10" i="71"/>
  <c r="F9" i="71"/>
  <c r="F8" i="71" s="1"/>
  <c r="F7" i="71" s="1"/>
  <c r="P10" i="71"/>
  <c r="E9" i="71"/>
  <c r="O10" i="71"/>
  <c r="N10" i="71"/>
  <c r="X10" i="71" s="1"/>
  <c r="A2" i="53"/>
  <c r="K59" i="67"/>
  <c r="K59" i="15"/>
  <c r="P74" i="15" s="1"/>
  <c r="D116" i="39"/>
  <c r="E116" i="39"/>
  <c r="F116" i="39"/>
  <c r="G116" i="39"/>
  <c r="H116" i="39"/>
  <c r="I116" i="39"/>
  <c r="J116" i="39"/>
  <c r="K116" i="39"/>
  <c r="L116" i="39"/>
  <c r="M116" i="39"/>
  <c r="C116" i="39"/>
  <c r="A21" i="62"/>
  <c r="A20" i="62"/>
  <c r="A22" i="51"/>
  <c r="A21" i="51"/>
  <c r="B16" i="72" s="1"/>
  <c r="A20" i="51"/>
  <c r="A14" i="62"/>
  <c r="B60" i="72" s="1"/>
  <c r="A13" i="62"/>
  <c r="A19" i="62"/>
  <c r="A12" i="62"/>
  <c r="B58" i="72" s="1"/>
  <c r="A120" i="9"/>
  <c r="H2" i="52"/>
  <c r="A1" i="52"/>
  <c r="A3" i="53"/>
  <c r="Q11" i="71"/>
  <c r="P11" i="71"/>
  <c r="O11" i="71"/>
  <c r="N11"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65" i="72"/>
  <c r="B59" i="72"/>
  <c r="B67" i="72"/>
  <c r="B66" i="72"/>
  <c r="B10" i="72"/>
  <c r="C53" i="10"/>
  <c r="B51" i="10"/>
  <c r="B19" i="72"/>
  <c r="A18" i="51"/>
  <c r="B13" i="72" s="1"/>
  <c r="B49" i="48"/>
  <c r="B5" i="72" s="1"/>
  <c r="I19" i="43"/>
  <c r="D74" i="71"/>
  <c r="F73" i="71"/>
  <c r="F72" i="71" s="1"/>
  <c r="E73" i="71"/>
  <c r="E72" i="71"/>
  <c r="E71" i="71" s="1"/>
  <c r="C73" i="71"/>
  <c r="D73" i="71" s="1"/>
  <c r="B73" i="71"/>
  <c r="B72" i="71" s="1"/>
  <c r="F71" i="71"/>
  <c r="B71" i="71"/>
  <c r="D70" i="71"/>
  <c r="F69" i="71"/>
  <c r="F68" i="71" s="1"/>
  <c r="E69" i="71"/>
  <c r="E68" i="71"/>
  <c r="E67" i="71" s="1"/>
  <c r="C69" i="71"/>
  <c r="D69" i="71" s="1"/>
  <c r="B69" i="71"/>
  <c r="B68" i="71" s="1"/>
  <c r="F67" i="71"/>
  <c r="B67" i="71"/>
  <c r="D66" i="71"/>
  <c r="Q65" i="71"/>
  <c r="P65" i="71"/>
  <c r="O65" i="71"/>
  <c r="N65" i="71"/>
  <c r="F65" i="71"/>
  <c r="V65" i="71" s="1"/>
  <c r="E65" i="71"/>
  <c r="U65" i="71" s="1"/>
  <c r="C65" i="71"/>
  <c r="T65" i="71" s="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F53" i="71"/>
  <c r="V53" i="71"/>
  <c r="E53" i="71"/>
  <c r="P53" i="71"/>
  <c r="C53" i="71"/>
  <c r="B53" i="71"/>
  <c r="F52" i="71"/>
  <c r="F51" i="71" s="1"/>
  <c r="Q51" i="71" s="1"/>
  <c r="D50" i="71"/>
  <c r="Q49" i="71"/>
  <c r="P49" i="71"/>
  <c r="O49" i="71"/>
  <c r="N49" i="71"/>
  <c r="Q48" i="71"/>
  <c r="P48" i="71"/>
  <c r="O48" i="71"/>
  <c r="N48" i="71"/>
  <c r="Q47" i="71"/>
  <c r="P47" i="71"/>
  <c r="E48" i="71" s="1"/>
  <c r="O47" i="71"/>
  <c r="N47" i="71"/>
  <c r="Q46" i="71"/>
  <c r="F47" i="71"/>
  <c r="F48" i="71" s="1"/>
  <c r="F49" i="71" s="1"/>
  <c r="V49" i="71" s="1"/>
  <c r="P46" i="71"/>
  <c r="E47" i="71" s="1"/>
  <c r="O46" i="71"/>
  <c r="C47" i="71" s="1"/>
  <c r="N46" i="71"/>
  <c r="B47" i="71" s="1"/>
  <c r="D46" i="71"/>
  <c r="Q45" i="71"/>
  <c r="P45" i="71"/>
  <c r="O45" i="71"/>
  <c r="N45" i="71"/>
  <c r="Q44" i="71"/>
  <c r="P44" i="71"/>
  <c r="O44" i="71"/>
  <c r="N44" i="71"/>
  <c r="Q43" i="71"/>
  <c r="P43" i="71"/>
  <c r="O43" i="71"/>
  <c r="N43" i="71"/>
  <c r="Q42" i="71"/>
  <c r="F43" i="71" s="1"/>
  <c r="F44" i="71" s="1"/>
  <c r="F45" i="71" s="1"/>
  <c r="V45" i="71" s="1"/>
  <c r="P42" i="71"/>
  <c r="E43" i="71"/>
  <c r="O42" i="71"/>
  <c r="C43" i="71"/>
  <c r="N42" i="71"/>
  <c r="B43" i="71"/>
  <c r="B44" i="71" s="1"/>
  <c r="B45" i="71" s="1"/>
  <c r="S45" i="71" s="1"/>
  <c r="D42" i="71"/>
  <c r="Q41" i="71"/>
  <c r="P41" i="71"/>
  <c r="O41" i="71"/>
  <c r="N41" i="71"/>
  <c r="Q40" i="71"/>
  <c r="P40" i="71"/>
  <c r="O40" i="71"/>
  <c r="N40" i="71"/>
  <c r="Q39" i="71"/>
  <c r="P39" i="71"/>
  <c r="E40" i="71" s="1"/>
  <c r="E41" i="71" s="1"/>
  <c r="U41" i="71" s="1"/>
  <c r="O39" i="71"/>
  <c r="N39" i="71"/>
  <c r="B40" i="71" s="1"/>
  <c r="B41" i="71" s="1"/>
  <c r="S41" i="71" s="1"/>
  <c r="Q38" i="71"/>
  <c r="F39" i="71" s="1"/>
  <c r="F40" i="71"/>
  <c r="F41" i="71" s="1"/>
  <c r="V41" i="71" s="1"/>
  <c r="P38" i="71"/>
  <c r="E39" i="71"/>
  <c r="O38" i="71"/>
  <c r="C39" i="71" s="1"/>
  <c r="N38" i="71"/>
  <c r="B39" i="71" s="1"/>
  <c r="D38" i="71"/>
  <c r="Q37" i="71"/>
  <c r="P37" i="71"/>
  <c r="O37" i="71"/>
  <c r="N37" i="71"/>
  <c r="Q36" i="71"/>
  <c r="P36" i="71"/>
  <c r="O36" i="71"/>
  <c r="N36" i="71"/>
  <c r="Q35" i="71"/>
  <c r="P35" i="71"/>
  <c r="O35" i="71"/>
  <c r="N35" i="71"/>
  <c r="Q34" i="71"/>
  <c r="F35" i="71" s="1"/>
  <c r="P34" i="71"/>
  <c r="E35" i="71" s="1"/>
  <c r="E36" i="71" s="1"/>
  <c r="E37" i="71" s="1"/>
  <c r="U37" i="71" s="1"/>
  <c r="O34" i="71"/>
  <c r="C35" i="71"/>
  <c r="N34" i="71"/>
  <c r="B35" i="71"/>
  <c r="B36" i="71" s="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s="1"/>
  <c r="O30" i="71"/>
  <c r="C31" i="71"/>
  <c r="N30" i="71"/>
  <c r="B31" i="71"/>
  <c r="D30" i="71"/>
  <c r="Q29" i="71"/>
  <c r="P29" i="71"/>
  <c r="O29" i="71"/>
  <c r="N29" i="71"/>
  <c r="Q28" i="71"/>
  <c r="P28" i="71"/>
  <c r="O28" i="71"/>
  <c r="N28" i="71"/>
  <c r="Q27" i="71"/>
  <c r="P27" i="71"/>
  <c r="O27" i="71"/>
  <c r="N27" i="71"/>
  <c r="Q26" i="71"/>
  <c r="F27" i="71" s="1"/>
  <c r="F28" i="71" s="1"/>
  <c r="F29" i="71" s="1"/>
  <c r="V29" i="71" s="1"/>
  <c r="P26" i="71"/>
  <c r="E27" i="71" s="1"/>
  <c r="E28" i="71"/>
  <c r="E29" i="71" s="1"/>
  <c r="U29" i="71" s="1"/>
  <c r="O26" i="71"/>
  <c r="C27" i="71"/>
  <c r="N26" i="71"/>
  <c r="B27" i="71"/>
  <c r="B28" i="71" s="1"/>
  <c r="B29" i="71"/>
  <c r="S29" i="71" s="1"/>
  <c r="D26" i="71"/>
  <c r="Q25" i="71"/>
  <c r="P25" i="71"/>
  <c r="O25" i="71"/>
  <c r="N25" i="71"/>
  <c r="Q24" i="71"/>
  <c r="AB24" i="71" s="1"/>
  <c r="P24" i="71"/>
  <c r="AA24" i="71"/>
  <c r="O24" i="71"/>
  <c r="Y24" i="71"/>
  <c r="Z24" i="71" s="1"/>
  <c r="N24" i="71"/>
  <c r="X24" i="71" s="1"/>
  <c r="Q23" i="71"/>
  <c r="P23" i="71"/>
  <c r="AA23" i="71" s="1"/>
  <c r="O23" i="71"/>
  <c r="Y23" i="71"/>
  <c r="Z23" i="71" s="1"/>
  <c r="N23" i="71"/>
  <c r="V25" i="71"/>
  <c r="Q22" i="71"/>
  <c r="F23" i="71" s="1"/>
  <c r="F24" i="71" s="1"/>
  <c r="F25" i="71" s="1"/>
  <c r="P22" i="71"/>
  <c r="O22" i="71"/>
  <c r="N22" i="71"/>
  <c r="D22" i="71"/>
  <c r="Q21" i="71"/>
  <c r="P21" i="71"/>
  <c r="O21" i="71"/>
  <c r="Y21" i="71"/>
  <c r="Z21" i="71" s="1"/>
  <c r="N21" i="71"/>
  <c r="X19" i="71" s="1"/>
  <c r="Q20" i="71"/>
  <c r="AB20" i="71"/>
  <c r="P20" i="71"/>
  <c r="O20" i="71"/>
  <c r="N20" i="71"/>
  <c r="Q19" i="71"/>
  <c r="P19" i="71"/>
  <c r="O19" i="71"/>
  <c r="N19" i="71"/>
  <c r="Q18" i="71"/>
  <c r="F19" i="71" s="1"/>
  <c r="F20" i="71" s="1"/>
  <c r="F21" i="71" s="1"/>
  <c r="V21" i="71" s="1"/>
  <c r="P18" i="71"/>
  <c r="O18" i="71"/>
  <c r="N18" i="71"/>
  <c r="D18" i="71"/>
  <c r="Q17" i="71"/>
  <c r="P17" i="71"/>
  <c r="O17" i="71"/>
  <c r="Y17" i="71"/>
  <c r="Z17" i="71" s="1"/>
  <c r="N17" i="71"/>
  <c r="Q16" i="71"/>
  <c r="P16" i="71"/>
  <c r="O16" i="71"/>
  <c r="N16" i="71"/>
  <c r="Q15" i="71"/>
  <c r="P15" i="71"/>
  <c r="O15" i="71"/>
  <c r="N15" i="71"/>
  <c r="Q14" i="71"/>
  <c r="F15" i="71" s="1"/>
  <c r="F16" i="71" s="1"/>
  <c r="F17" i="71" s="1"/>
  <c r="V17" i="71" s="1"/>
  <c r="P14" i="71"/>
  <c r="O14" i="71"/>
  <c r="N14" i="71"/>
  <c r="D14" i="71"/>
  <c r="O13" i="71"/>
  <c r="N13" i="71"/>
  <c r="B15" i="71"/>
  <c r="X14" i="71"/>
  <c r="B19" i="71"/>
  <c r="B20" i="71" s="1"/>
  <c r="B21" i="71"/>
  <c r="S21" i="71" s="1"/>
  <c r="AA22" i="71"/>
  <c r="N53" i="71"/>
  <c r="E19" i="71"/>
  <c r="E20" i="71" s="1"/>
  <c r="E21" i="71" s="1"/>
  <c r="U21" i="71" s="1"/>
  <c r="C15" i="71"/>
  <c r="AA15" i="71"/>
  <c r="C19" i="71"/>
  <c r="C20" i="71"/>
  <c r="D20" i="71" s="1"/>
  <c r="C23" i="71"/>
  <c r="Y22" i="71"/>
  <c r="Z22" i="71"/>
  <c r="X23" i="71"/>
  <c r="F36" i="71"/>
  <c r="F37" i="71" s="1"/>
  <c r="V37" i="71"/>
  <c r="B13" i="71"/>
  <c r="B12" i="71"/>
  <c r="B11" i="71" s="1"/>
  <c r="C16" i="71"/>
  <c r="D16" i="71" s="1"/>
  <c r="D15" i="71"/>
  <c r="D19" i="71"/>
  <c r="C24" i="71"/>
  <c r="D23" i="71"/>
  <c r="C28" i="71"/>
  <c r="D27" i="71"/>
  <c r="C36" i="71"/>
  <c r="D36" i="71" s="1"/>
  <c r="D35" i="71"/>
  <c r="P13" i="71"/>
  <c r="E44" i="71"/>
  <c r="E45" i="71" s="1"/>
  <c r="U45" i="71" s="1"/>
  <c r="E49" i="71"/>
  <c r="U49" i="71" s="1"/>
  <c r="Q50" i="71"/>
  <c r="U53" i="71"/>
  <c r="E52" i="71"/>
  <c r="E51" i="71" s="1"/>
  <c r="P51" i="71" s="1"/>
  <c r="Q13" i="71"/>
  <c r="C40" i="71"/>
  <c r="D40" i="71" s="1"/>
  <c r="D39" i="71"/>
  <c r="C44" i="71"/>
  <c r="D44" i="71" s="1"/>
  <c r="D43" i="71"/>
  <c r="C48" i="71"/>
  <c r="C49" i="71" s="1"/>
  <c r="T49" i="71" s="1"/>
  <c r="D47" i="71"/>
  <c r="Q52" i="71"/>
  <c r="T53" i="71"/>
  <c r="O53" i="71"/>
  <c r="D53" i="71"/>
  <c r="C52" i="71"/>
  <c r="Q53" i="71"/>
  <c r="C56" i="71"/>
  <c r="D56" i="71" s="1"/>
  <c r="E56" i="71"/>
  <c r="E55" i="71"/>
  <c r="D57" i="71"/>
  <c r="C60" i="71"/>
  <c r="E60" i="71"/>
  <c r="E59" i="71"/>
  <c r="D61" i="71"/>
  <c r="C64" i="71"/>
  <c r="C63" i="71" s="1"/>
  <c r="D63" i="71" s="1"/>
  <c r="E64" i="71"/>
  <c r="E63" i="71"/>
  <c r="D65" i="71"/>
  <c r="C68" i="71"/>
  <c r="D68" i="71" s="1"/>
  <c r="C72" i="71"/>
  <c r="S13" i="71"/>
  <c r="F13" i="71"/>
  <c r="F12" i="71"/>
  <c r="F11" i="71" s="1"/>
  <c r="AB10" i="71"/>
  <c r="E13" i="71"/>
  <c r="AA10" i="71"/>
  <c r="D52" i="71"/>
  <c r="D48" i="71"/>
  <c r="C67" i="71"/>
  <c r="D67" i="71" s="1"/>
  <c r="D72" i="71"/>
  <c r="C71" i="71"/>
  <c r="D71" i="71" s="1"/>
  <c r="D64" i="71"/>
  <c r="C45" i="71"/>
  <c r="T45" i="71" s="1"/>
  <c r="C41" i="71"/>
  <c r="P52" i="71"/>
  <c r="C37" i="71"/>
  <c r="T37" i="71" s="1"/>
  <c r="C29" i="71"/>
  <c r="T29" i="71" s="1"/>
  <c r="D28" i="71"/>
  <c r="C25" i="71"/>
  <c r="T25" i="71" s="1"/>
  <c r="D24" i="71"/>
  <c r="C17" i="71"/>
  <c r="T17" i="71" s="1"/>
  <c r="P50" i="71"/>
  <c r="D17" i="71"/>
  <c r="D25" i="71"/>
  <c r="D29" i="71"/>
  <c r="D37" i="71"/>
  <c r="D45" i="71"/>
  <c r="D49" i="71"/>
  <c r="O27" i="6"/>
  <c r="N27" i="6"/>
  <c r="P20" i="6"/>
  <c r="P21" i="6"/>
  <c r="P22" i="6"/>
  <c r="P23" i="6"/>
  <c r="P24" i="6"/>
  <c r="P25" i="6"/>
  <c r="P26" i="6"/>
  <c r="P19" i="6"/>
  <c r="AP8" i="1"/>
  <c r="AP9" i="1"/>
  <c r="AP10" i="1"/>
  <c r="AP11" i="1"/>
  <c r="AP12" i="1"/>
  <c r="AP13" i="1"/>
  <c r="L22" i="6"/>
  <c r="L23" i="6"/>
  <c r="L24" i="6"/>
  <c r="L25" i="6"/>
  <c r="L26" i="6"/>
  <c r="P27" i="6"/>
  <c r="A7" i="70"/>
  <c r="A8" i="70"/>
  <c r="A9" i="70"/>
  <c r="E9" i="70" s="1"/>
  <c r="A10" i="70"/>
  <c r="E10" i="70" s="1"/>
  <c r="A11" i="70"/>
  <c r="E11" i="70" s="1"/>
  <c r="A12" i="70"/>
  <c r="E12" i="70" s="1"/>
  <c r="A13" i="70"/>
  <c r="E13" i="70" s="1"/>
  <c r="A6" i="70"/>
  <c r="Q25" i="40"/>
  <c r="Z25" i="40"/>
  <c r="D94" i="40"/>
  <c r="E94" i="40" s="1"/>
  <c r="F94" i="40" s="1"/>
  <c r="G94" i="40" s="1"/>
  <c r="F25" i="40"/>
  <c r="AA25" i="40" s="1"/>
  <c r="Q29" i="39"/>
  <c r="Z29" i="39" s="1"/>
  <c r="D103" i="39"/>
  <c r="E103" i="39"/>
  <c r="F103" i="39" s="1"/>
  <c r="G103" i="39" s="1"/>
  <c r="F29" i="39"/>
  <c r="AA29" i="39"/>
  <c r="Q18" i="36"/>
  <c r="Z18" i="36"/>
  <c r="D66" i="36"/>
  <c r="E66" i="36"/>
  <c r="F66" i="36" s="1"/>
  <c r="G66" i="36" s="1"/>
  <c r="H18" i="36"/>
  <c r="F18" i="36"/>
  <c r="C18" i="36"/>
  <c r="Q18" i="35"/>
  <c r="Z18" i="35" s="1"/>
  <c r="D68" i="35"/>
  <c r="E68" i="35"/>
  <c r="F68" i="35" s="1"/>
  <c r="G68" i="35" s="1"/>
  <c r="F18" i="35"/>
  <c r="AA18" i="35"/>
  <c r="C18" i="35"/>
  <c r="Z21" i="37"/>
  <c r="Q21" i="37"/>
  <c r="D77" i="37"/>
  <c r="E77" i="37" s="1"/>
  <c r="F77" i="37" s="1"/>
  <c r="G77" i="37" s="1"/>
  <c r="C21" i="37"/>
  <c r="Q21" i="34"/>
  <c r="Z21" i="34" s="1"/>
  <c r="D84" i="34"/>
  <c r="E84" i="34"/>
  <c r="F84" i="34" s="1"/>
  <c r="G84" i="34" s="1"/>
  <c r="F21" i="34"/>
  <c r="AA21" i="34"/>
  <c r="C21" i="34"/>
  <c r="Z21" i="33"/>
  <c r="Q21" i="33"/>
  <c r="D83" i="33"/>
  <c r="E83" i="33" s="1"/>
  <c r="F83" i="33" s="1"/>
  <c r="G83" i="33" s="1"/>
  <c r="C21" i="33"/>
  <c r="C21" i="21"/>
  <c r="Q21" i="21"/>
  <c r="Z21" i="21" s="1"/>
  <c r="H19" i="21"/>
  <c r="D83" i="21"/>
  <c r="F21" i="21"/>
  <c r="D81" i="21"/>
  <c r="G20" i="20"/>
  <c r="B86" i="43"/>
  <c r="C22" i="20"/>
  <c r="B75" i="43"/>
  <c r="B55" i="43"/>
  <c r="B66" i="43"/>
  <c r="C25" i="40"/>
  <c r="C29" i="39"/>
  <c r="S29" i="39"/>
  <c r="S21" i="34"/>
  <c r="H25" i="40"/>
  <c r="AB25" i="40" s="1"/>
  <c r="J25" i="40"/>
  <c r="AC25" i="40" s="1"/>
  <c r="H29" i="39"/>
  <c r="AB29" i="39" s="1"/>
  <c r="J29" i="39"/>
  <c r="J18" i="36"/>
  <c r="AC18" i="36" s="1"/>
  <c r="H18" i="35"/>
  <c r="AB18" i="35" s="1"/>
  <c r="S18" i="35"/>
  <c r="J18" i="35"/>
  <c r="H21" i="37"/>
  <c r="F21" i="37"/>
  <c r="H21" i="34"/>
  <c r="AB21" i="34" s="1"/>
  <c r="H21" i="33"/>
  <c r="F21" i="33"/>
  <c r="E83" i="21"/>
  <c r="F83" i="21" s="1"/>
  <c r="H1" i="69"/>
  <c r="U29" i="39"/>
  <c r="W18" i="36"/>
  <c r="AB21" i="37"/>
  <c r="U21" i="37"/>
  <c r="U21" i="34"/>
  <c r="AA21" i="33"/>
  <c r="S21" i="33"/>
  <c r="U18" i="35"/>
  <c r="AC18" i="35"/>
  <c r="W18" i="35"/>
  <c r="J21" i="37"/>
  <c r="W21" i="37" s="1"/>
  <c r="J21" i="34"/>
  <c r="J21" i="33"/>
  <c r="W21" i="33" s="1"/>
  <c r="H21" i="21"/>
  <c r="F38" i="69"/>
  <c r="E37" i="69"/>
  <c r="F36" i="69"/>
  <c r="F35" i="69"/>
  <c r="F21" i="69"/>
  <c r="C21" i="69" s="1"/>
  <c r="F20" i="69"/>
  <c r="E10" i="69"/>
  <c r="E9" i="69"/>
  <c r="F7" i="69"/>
  <c r="C7" i="69" s="1"/>
  <c r="AC21" i="37"/>
  <c r="AC21" i="33"/>
  <c r="G83" i="21"/>
  <c r="J21" i="21"/>
  <c r="F38" i="68"/>
  <c r="E37" i="68"/>
  <c r="F36" i="68"/>
  <c r="F35" i="68"/>
  <c r="F21" i="68"/>
  <c r="C21" i="68" s="1"/>
  <c r="F20" i="68"/>
  <c r="E10" i="68"/>
  <c r="E9" i="68"/>
  <c r="F7" i="68"/>
  <c r="W21" i="21"/>
  <c r="AC21" i="21"/>
  <c r="Q72" i="67"/>
  <c r="Q59" i="67"/>
  <c r="Q58" i="67"/>
  <c r="Q51" i="67"/>
  <c r="J50" i="67"/>
  <c r="M47" i="67"/>
  <c r="J53" i="67" s="1"/>
  <c r="D46" i="67"/>
  <c r="F33" i="67"/>
  <c r="F61" i="67" s="1"/>
  <c r="F23" i="67"/>
  <c r="D24" i="67" s="1"/>
  <c r="F21" i="67"/>
  <c r="F20" i="67"/>
  <c r="M19" i="67"/>
  <c r="F18" i="67"/>
  <c r="F17" i="67"/>
  <c r="F15" i="67"/>
  <c r="S2" i="4"/>
  <c r="C51" i="10" s="1"/>
  <c r="A13" i="51" s="1"/>
  <c r="B11" i="72" s="1"/>
  <c r="S1" i="4"/>
  <c r="B1" i="4"/>
  <c r="B37" i="48" s="1"/>
  <c r="B2" i="72" s="1"/>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c r="I12" i="31" s="1"/>
  <c r="J12" i="31" s="1"/>
  <c r="K12" i="31" s="1"/>
  <c r="L12" i="31" s="1"/>
  <c r="M12" i="31" s="1"/>
  <c r="N12" i="31" s="1"/>
  <c r="O12" i="31" s="1"/>
  <c r="P12" i="31" s="1"/>
  <c r="Q12" i="31" s="1"/>
  <c r="R12" i="31" s="1"/>
  <c r="S12" i="31" s="1"/>
  <c r="D10" i="31"/>
  <c r="E10" i="31" s="1"/>
  <c r="F10" i="31" s="1"/>
  <c r="G10" i="31" s="1"/>
  <c r="H10" i="3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G9" i="1" s="1"/>
  <c r="D10" i="1"/>
  <c r="D11" i="1"/>
  <c r="D12" i="1"/>
  <c r="D13" i="1"/>
  <c r="G13" i="1" s="1"/>
  <c r="D7" i="1"/>
  <c r="D8" i="1"/>
  <c r="A7" i="1"/>
  <c r="A8" i="1"/>
  <c r="K8" i="1" s="1"/>
  <c r="M8" i="1" s="1"/>
  <c r="A9" i="1"/>
  <c r="K9" i="1" s="1"/>
  <c r="A10" i="1"/>
  <c r="A11" i="1"/>
  <c r="B11" i="1" s="1"/>
  <c r="E11" i="1" s="1"/>
  <c r="A12" i="1"/>
  <c r="R12" i="1" s="1"/>
  <c r="A13" i="1"/>
  <c r="S13" i="1" s="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s="1"/>
  <c r="C57" i="40" s="1"/>
  <c r="H56" i="40"/>
  <c r="I56" i="40" s="1"/>
  <c r="C56" i="40" s="1"/>
  <c r="H55" i="40"/>
  <c r="I55" i="40"/>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c r="C58" i="39" s="1"/>
  <c r="H57" i="39"/>
  <c r="I57" i="39" s="1"/>
  <c r="C57" i="39" s="1"/>
  <c r="H61" i="39"/>
  <c r="I61" i="39" s="1"/>
  <c r="C61" i="39" s="1"/>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s="1"/>
  <c r="H34" i="43"/>
  <c r="H35" i="43"/>
  <c r="H36" i="43"/>
  <c r="H37" i="43"/>
  <c r="H38" i="43"/>
  <c r="H39" i="43"/>
  <c r="H33" i="43"/>
  <c r="J20" i="43"/>
  <c r="C18" i="43"/>
  <c r="F15" i="43"/>
  <c r="E15" i="43"/>
  <c r="D15" i="43"/>
  <c r="C15" i="43"/>
  <c r="C10" i="43"/>
  <c r="C11" i="43"/>
  <c r="E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E19" i="68" s="1"/>
  <c r="B52" i="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F54" i="33" s="1"/>
  <c r="H493" i="3"/>
  <c r="AC493" i="3"/>
  <c r="G493" i="3" s="1"/>
  <c r="BB493" i="3"/>
  <c r="BC493" i="3"/>
  <c r="BC5" i="3" s="1"/>
  <c r="BD493" i="3"/>
  <c r="BE493" i="3"/>
  <c r="BF493" i="3"/>
  <c r="BG493" i="3"/>
  <c r="BG5" i="3" s="1"/>
  <c r="BH493" i="3"/>
  <c r="BI493" i="3"/>
  <c r="BJ493" i="3"/>
  <c r="BK493" i="3"/>
  <c r="BK5" i="3" s="1"/>
  <c r="BM493" i="3"/>
  <c r="BN493" i="3"/>
  <c r="BL493" i="3" s="1"/>
  <c r="AZ493" i="3" s="1"/>
  <c r="BO493" i="3"/>
  <c r="BP493" i="3"/>
  <c r="BP5" i="3" s="1"/>
  <c r="BR493" i="3"/>
  <c r="BS493" i="3"/>
  <c r="BT493" i="3"/>
  <c r="H494" i="3"/>
  <c r="G494" i="3" s="1"/>
  <c r="AC494" i="3"/>
  <c r="BB494" i="3"/>
  <c r="BA494" i="3" s="1"/>
  <c r="BC494" i="3"/>
  <c r="BD494" i="3"/>
  <c r="BE494" i="3"/>
  <c r="BF494" i="3"/>
  <c r="BG494" i="3"/>
  <c r="BH494" i="3"/>
  <c r="BH5" i="3" s="1"/>
  <c r="BI494" i="3"/>
  <c r="BJ494" i="3"/>
  <c r="BK494" i="3"/>
  <c r="BM494" i="3"/>
  <c r="BL494" i="3" s="1"/>
  <c r="BN494" i="3"/>
  <c r="BO494" i="3"/>
  <c r="BP494" i="3"/>
  <c r="BQ494" i="3"/>
  <c r="BR494" i="3"/>
  <c r="BS494" i="3"/>
  <c r="BT494" i="3"/>
  <c r="H495" i="3"/>
  <c r="AC495" i="3"/>
  <c r="BB495" i="3"/>
  <c r="BA495" i="3" s="1"/>
  <c r="BC495" i="3"/>
  <c r="BD495" i="3"/>
  <c r="BE495" i="3"/>
  <c r="BF495" i="3"/>
  <c r="BG495" i="3"/>
  <c r="BH495" i="3"/>
  <c r="BI495" i="3"/>
  <c r="BJ495" i="3"/>
  <c r="BK495" i="3"/>
  <c r="BM495" i="3"/>
  <c r="BL495" i="3" s="1"/>
  <c r="BN495" i="3"/>
  <c r="BO495" i="3"/>
  <c r="BP495" i="3"/>
  <c r="BR495" i="3"/>
  <c r="BR5" i="3" s="1"/>
  <c r="G28" i="6" s="1"/>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L497" i="3" s="1"/>
  <c r="AZ497" i="3" s="1"/>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A499" i="3" s="1"/>
  <c r="BC499" i="3"/>
  <c r="BD499" i="3"/>
  <c r="BE499" i="3"/>
  <c r="BF499" i="3"/>
  <c r="BG499" i="3"/>
  <c r="BH499" i="3"/>
  <c r="BI499" i="3"/>
  <c r="BJ499" i="3"/>
  <c r="BK499" i="3"/>
  <c r="BM499" i="3"/>
  <c r="BL499" i="3" s="1"/>
  <c r="BN499" i="3"/>
  <c r="BO499" i="3"/>
  <c r="BP499" i="3"/>
  <c r="BR499" i="3"/>
  <c r="BS499" i="3"/>
  <c r="BT499" i="3"/>
  <c r="H500" i="3"/>
  <c r="AC500" i="3"/>
  <c r="BB500" i="3"/>
  <c r="BC500" i="3"/>
  <c r="BA500" i="3" s="1"/>
  <c r="BD500" i="3"/>
  <c r="BE500" i="3"/>
  <c r="BF500" i="3"/>
  <c r="BG500" i="3"/>
  <c r="BH500" i="3"/>
  <c r="BI500" i="3"/>
  <c r="BJ500" i="3"/>
  <c r="BK500" i="3"/>
  <c r="BM500" i="3"/>
  <c r="BN500" i="3"/>
  <c r="BL500" i="3" s="1"/>
  <c r="BO500" i="3"/>
  <c r="BP500" i="3"/>
  <c r="BQ500" i="3"/>
  <c r="BR500" i="3"/>
  <c r="BS500" i="3"/>
  <c r="BT500" i="3"/>
  <c r="H501" i="3"/>
  <c r="AC501" i="3"/>
  <c r="G501" i="3" s="1"/>
  <c r="BB501" i="3"/>
  <c r="BC501" i="3"/>
  <c r="BD501" i="3"/>
  <c r="BE501" i="3"/>
  <c r="BF501" i="3"/>
  <c r="BG501" i="3"/>
  <c r="BH501" i="3"/>
  <c r="BI501" i="3"/>
  <c r="BJ501" i="3"/>
  <c r="BK501" i="3"/>
  <c r="BM501" i="3"/>
  <c r="BN501" i="3"/>
  <c r="BL501" i="3" s="1"/>
  <c r="AZ501" i="3" s="1"/>
  <c r="BO501" i="3"/>
  <c r="BP501" i="3"/>
  <c r="BR501" i="3"/>
  <c r="BS501" i="3"/>
  <c r="BT501" i="3"/>
  <c r="H502" i="3"/>
  <c r="AC502" i="3"/>
  <c r="BB502" i="3"/>
  <c r="BC502" i="3"/>
  <c r="BD502" i="3"/>
  <c r="BE502" i="3"/>
  <c r="BF502" i="3"/>
  <c r="BG502" i="3"/>
  <c r="BH502" i="3"/>
  <c r="BI502" i="3"/>
  <c r="BJ502" i="3"/>
  <c r="BK502" i="3"/>
  <c r="BM502" i="3"/>
  <c r="BL502" i="3" s="1"/>
  <c r="BN502" i="3"/>
  <c r="BO502" i="3"/>
  <c r="BP502" i="3"/>
  <c r="BQ502" i="3"/>
  <c r="BR502" i="3"/>
  <c r="BS502" i="3"/>
  <c r="BT502" i="3"/>
  <c r="H503" i="3"/>
  <c r="AC503" i="3"/>
  <c r="BB503" i="3"/>
  <c r="BA503" i="3" s="1"/>
  <c r="AZ503" i="3" s="1"/>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L505" i="3" s="1"/>
  <c r="AZ505" i="3" s="1"/>
  <c r="BO505" i="3"/>
  <c r="BP505" i="3"/>
  <c r="BR505" i="3"/>
  <c r="BS505" i="3"/>
  <c r="BT505" i="3"/>
  <c r="H506" i="3"/>
  <c r="G506" i="3" s="1"/>
  <c r="AC506" i="3"/>
  <c r="BB506" i="3"/>
  <c r="BA506" i="3" s="1"/>
  <c r="AZ506" i="3" s="1"/>
  <c r="BC506" i="3"/>
  <c r="BD506" i="3"/>
  <c r="BE506" i="3"/>
  <c r="BF506" i="3"/>
  <c r="BG506" i="3"/>
  <c r="BH506" i="3"/>
  <c r="BI506" i="3"/>
  <c r="BJ506" i="3"/>
  <c r="BK506" i="3"/>
  <c r="BM506" i="3"/>
  <c r="BN506" i="3"/>
  <c r="BO506" i="3"/>
  <c r="BP506" i="3"/>
  <c r="BQ506" i="3"/>
  <c r="BR506" i="3"/>
  <c r="BS506" i="3"/>
  <c r="BT506" i="3"/>
  <c r="H507" i="3"/>
  <c r="AC507" i="3"/>
  <c r="BB507" i="3"/>
  <c r="BA507" i="3" s="1"/>
  <c r="AZ507" i="3" s="1"/>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L509" i="3" s="1"/>
  <c r="BN509" i="3"/>
  <c r="BO509" i="3"/>
  <c r="BP509" i="3"/>
  <c r="BR509" i="3"/>
  <c r="BS509" i="3"/>
  <c r="BT509" i="3"/>
  <c r="H510" i="3"/>
  <c r="AC510" i="3"/>
  <c r="G510" i="3" s="1"/>
  <c r="BB510" i="3"/>
  <c r="BC510" i="3"/>
  <c r="BD510" i="3"/>
  <c r="BE510" i="3"/>
  <c r="BF510" i="3"/>
  <c r="BG510" i="3"/>
  <c r="BH510" i="3"/>
  <c r="BI510" i="3"/>
  <c r="BJ510" i="3"/>
  <c r="BK510" i="3"/>
  <c r="BM510" i="3"/>
  <c r="BN510" i="3"/>
  <c r="BL510" i="3" s="1"/>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L512" i="3" s="1"/>
  <c r="BN512" i="3"/>
  <c r="BO512" i="3"/>
  <c r="BP512" i="3"/>
  <c r="BQ512" i="3"/>
  <c r="BR512" i="3"/>
  <c r="BS512" i="3"/>
  <c r="BT512" i="3"/>
  <c r="H513" i="3"/>
  <c r="G513" i="3" s="1"/>
  <c r="AC513" i="3"/>
  <c r="BB513" i="3"/>
  <c r="BA513" i="3" s="1"/>
  <c r="BC513" i="3"/>
  <c r="BD513" i="3"/>
  <c r="BE513" i="3"/>
  <c r="BF513" i="3"/>
  <c r="BG513" i="3"/>
  <c r="BH513" i="3"/>
  <c r="BI513" i="3"/>
  <c r="BJ513" i="3"/>
  <c r="BK513" i="3"/>
  <c r="BM513" i="3"/>
  <c r="BL513" i="3" s="1"/>
  <c r="BN513" i="3"/>
  <c r="BO513" i="3"/>
  <c r="BP513" i="3"/>
  <c r="BR513" i="3"/>
  <c r="BS513" i="3"/>
  <c r="BT513" i="3"/>
  <c r="H514" i="3"/>
  <c r="AC514" i="3"/>
  <c r="BB514" i="3"/>
  <c r="BC514" i="3"/>
  <c r="BA514" i="3" s="1"/>
  <c r="AZ514" i="3" s="1"/>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A516" i="3" s="1"/>
  <c r="AZ516" i="3" s="1"/>
  <c r="BC516" i="3"/>
  <c r="BD516" i="3"/>
  <c r="BE516" i="3"/>
  <c r="BF516" i="3"/>
  <c r="BG516" i="3"/>
  <c r="BH516" i="3"/>
  <c r="BI516" i="3"/>
  <c r="BJ516" i="3"/>
  <c r="BK516" i="3"/>
  <c r="BM516" i="3"/>
  <c r="BN516" i="3"/>
  <c r="BO516" i="3"/>
  <c r="BP516" i="3"/>
  <c r="BQ516" i="3"/>
  <c r="BR516" i="3"/>
  <c r="BS516" i="3"/>
  <c r="BT516" i="3"/>
  <c r="H517" i="3"/>
  <c r="G517" i="3" s="1"/>
  <c r="AC517" i="3"/>
  <c r="BB517" i="3"/>
  <c r="BA517" i="3" s="1"/>
  <c r="BC517" i="3"/>
  <c r="BD517" i="3"/>
  <c r="BE517" i="3"/>
  <c r="BF517" i="3"/>
  <c r="BG517" i="3"/>
  <c r="BH517" i="3"/>
  <c r="BI517" i="3"/>
  <c r="BJ517" i="3"/>
  <c r="BK517" i="3"/>
  <c r="BM517" i="3"/>
  <c r="BL517" i="3" s="1"/>
  <c r="BN517" i="3"/>
  <c r="BO517" i="3"/>
  <c r="BP517" i="3"/>
  <c r="BR517" i="3"/>
  <c r="BS517" i="3"/>
  <c r="BT517" i="3"/>
  <c r="H518" i="3"/>
  <c r="AC518" i="3"/>
  <c r="G518" i="3" s="1"/>
  <c r="BB518" i="3"/>
  <c r="BC518" i="3"/>
  <c r="BA518" i="3" s="1"/>
  <c r="BD518" i="3"/>
  <c r="BE518" i="3"/>
  <c r="BF518" i="3"/>
  <c r="BG518" i="3"/>
  <c r="BH518" i="3"/>
  <c r="BI518" i="3"/>
  <c r="BJ518" i="3"/>
  <c r="BK518" i="3"/>
  <c r="BM518" i="3"/>
  <c r="BN518" i="3"/>
  <c r="BL518" i="3" s="1"/>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G521" i="3" s="1"/>
  <c r="BB521" i="3"/>
  <c r="BC521" i="3"/>
  <c r="BD521" i="3"/>
  <c r="BE521" i="3"/>
  <c r="BF521" i="3"/>
  <c r="BG521" i="3"/>
  <c r="BH521" i="3"/>
  <c r="BI521" i="3"/>
  <c r="BJ521" i="3"/>
  <c r="BK521" i="3"/>
  <c r="BM521" i="3"/>
  <c r="BN521" i="3"/>
  <c r="BL521" i="3" s="1"/>
  <c r="BO521" i="3"/>
  <c r="BP521" i="3"/>
  <c r="BR521" i="3"/>
  <c r="BS521" i="3"/>
  <c r="BT521" i="3"/>
  <c r="H522" i="3"/>
  <c r="AC522" i="3"/>
  <c r="BB522" i="3"/>
  <c r="BA522" i="3" s="1"/>
  <c r="BC522" i="3"/>
  <c r="BD522" i="3"/>
  <c r="BE522" i="3"/>
  <c r="BF522" i="3"/>
  <c r="BG522" i="3"/>
  <c r="BH522" i="3"/>
  <c r="BI522" i="3"/>
  <c r="BJ522" i="3"/>
  <c r="BK522" i="3"/>
  <c r="BM522" i="3"/>
  <c r="BL522" i="3" s="1"/>
  <c r="BN522" i="3"/>
  <c r="BO522" i="3"/>
  <c r="BP522" i="3"/>
  <c r="BQ522" i="3"/>
  <c r="BR522" i="3"/>
  <c r="BS522" i="3"/>
  <c r="BT522" i="3"/>
  <c r="H523" i="3"/>
  <c r="AC523" i="3"/>
  <c r="BB523" i="3"/>
  <c r="BA523" i="3" s="1"/>
  <c r="AZ523" i="3" s="1"/>
  <c r="BC523" i="3"/>
  <c r="BD523" i="3"/>
  <c r="BE523" i="3"/>
  <c r="BF523" i="3"/>
  <c r="BG523" i="3"/>
  <c r="BH523" i="3"/>
  <c r="BI523" i="3"/>
  <c r="BJ523" i="3"/>
  <c r="BK523" i="3"/>
  <c r="BM523" i="3"/>
  <c r="BN523" i="3"/>
  <c r="BO523" i="3"/>
  <c r="BP523" i="3"/>
  <c r="BR523" i="3"/>
  <c r="BS523" i="3"/>
  <c r="BT523" i="3"/>
  <c r="H524" i="3"/>
  <c r="AC524" i="3"/>
  <c r="G524" i="3" s="1"/>
  <c r="BB524" i="3"/>
  <c r="BC524" i="3"/>
  <c r="BA524" i="3" s="1"/>
  <c r="AZ524" i="3" s="1"/>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L525" i="3" s="1"/>
  <c r="AZ525" i="3" s="1"/>
  <c r="BO525" i="3"/>
  <c r="BP525" i="3"/>
  <c r="BR525" i="3"/>
  <c r="BS525" i="3"/>
  <c r="BT525" i="3"/>
  <c r="H526" i="3"/>
  <c r="G526" i="3" s="1"/>
  <c r="AC526" i="3"/>
  <c r="BB526" i="3"/>
  <c r="BC526" i="3"/>
  <c r="BA526" i="3" s="1"/>
  <c r="AZ526" i="3" s="1"/>
  <c r="BD526" i="3"/>
  <c r="BE526" i="3"/>
  <c r="BF526" i="3"/>
  <c r="BG526" i="3"/>
  <c r="BH526" i="3"/>
  <c r="BI526" i="3"/>
  <c r="BJ526" i="3"/>
  <c r="BK526" i="3"/>
  <c r="BM526" i="3"/>
  <c r="BN526" i="3"/>
  <c r="BO526" i="3"/>
  <c r="BP526" i="3"/>
  <c r="BQ526" i="3"/>
  <c r="BR526" i="3"/>
  <c r="BS526" i="3"/>
  <c r="BT526" i="3"/>
  <c r="H527" i="3"/>
  <c r="AC527" i="3"/>
  <c r="G527" i="3" s="1"/>
  <c r="BB527" i="3"/>
  <c r="BC527" i="3"/>
  <c r="BA527" i="3" s="1"/>
  <c r="AZ527" i="3" s="1"/>
  <c r="BD527" i="3"/>
  <c r="BE527" i="3"/>
  <c r="BF527" i="3"/>
  <c r="BG527" i="3"/>
  <c r="BH527" i="3"/>
  <c r="BI527" i="3"/>
  <c r="BJ527" i="3"/>
  <c r="BK527" i="3"/>
  <c r="BM527" i="3"/>
  <c r="BN527" i="3"/>
  <c r="BO527" i="3"/>
  <c r="BP527" i="3"/>
  <c r="BR527" i="3"/>
  <c r="BS527" i="3"/>
  <c r="BT527" i="3"/>
  <c r="H528" i="3"/>
  <c r="AC528" i="3"/>
  <c r="BB528" i="3"/>
  <c r="BA528" i="3" s="1"/>
  <c r="AZ528" i="3" s="1"/>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L529" i="3" s="1"/>
  <c r="AZ529" i="3" s="1"/>
  <c r="BN529" i="3"/>
  <c r="BO529" i="3"/>
  <c r="BP529" i="3"/>
  <c r="BR529" i="3"/>
  <c r="BS529" i="3"/>
  <c r="BT529" i="3"/>
  <c r="H530" i="3"/>
  <c r="AC530" i="3"/>
  <c r="G530" i="3" s="1"/>
  <c r="BB530" i="3"/>
  <c r="BC530" i="3"/>
  <c r="BD530" i="3"/>
  <c r="BE530" i="3"/>
  <c r="BF530" i="3"/>
  <c r="BG530" i="3"/>
  <c r="BH530" i="3"/>
  <c r="BI530" i="3"/>
  <c r="BJ530" i="3"/>
  <c r="BK530" i="3"/>
  <c r="BM530" i="3"/>
  <c r="BN530" i="3"/>
  <c r="BL530" i="3" s="1"/>
  <c r="AZ530" i="3" s="1"/>
  <c r="BO530" i="3"/>
  <c r="BP530" i="3"/>
  <c r="BQ530" i="3"/>
  <c r="BR530" i="3"/>
  <c r="BS530" i="3"/>
  <c r="BT530" i="3"/>
  <c r="H531" i="3"/>
  <c r="AC531" i="3"/>
  <c r="G531" i="3" s="1"/>
  <c r="BB531" i="3"/>
  <c r="BC531" i="3"/>
  <c r="BA531" i="3" s="1"/>
  <c r="AZ531" i="3" s="1"/>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L533" i="3" s="1"/>
  <c r="AZ533" i="3" s="1"/>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A535" i="3" s="1"/>
  <c r="AZ535" i="3" s="1"/>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L537" i="3" s="1"/>
  <c r="AZ537" i="3" s="1"/>
  <c r="BN537" i="3"/>
  <c r="BO537" i="3"/>
  <c r="BP537" i="3"/>
  <c r="BR537" i="3"/>
  <c r="BS537" i="3"/>
  <c r="BT537" i="3"/>
  <c r="H538" i="3"/>
  <c r="AC538" i="3"/>
  <c r="BB538" i="3"/>
  <c r="BC538" i="3"/>
  <c r="BD538" i="3"/>
  <c r="BE538" i="3"/>
  <c r="BF538" i="3"/>
  <c r="BG538" i="3"/>
  <c r="BH538" i="3"/>
  <c r="BI538" i="3"/>
  <c r="BJ538" i="3"/>
  <c r="BK538" i="3"/>
  <c r="BM538" i="3"/>
  <c r="BN538" i="3"/>
  <c r="BL538" i="3" s="1"/>
  <c r="BO538" i="3"/>
  <c r="BP538" i="3"/>
  <c r="BQ538" i="3"/>
  <c r="BR538" i="3"/>
  <c r="BS538" i="3"/>
  <c r="BT538" i="3"/>
  <c r="H539" i="3"/>
  <c r="AC539" i="3"/>
  <c r="BB539" i="3"/>
  <c r="BC539" i="3"/>
  <c r="BA539" i="3" s="1"/>
  <c r="AZ539" i="3" s="1"/>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L540" i="3" s="1"/>
  <c r="BN540" i="3"/>
  <c r="BO540" i="3"/>
  <c r="BP540" i="3"/>
  <c r="BQ540" i="3"/>
  <c r="BR540" i="3"/>
  <c r="BS540" i="3"/>
  <c r="BT540" i="3"/>
  <c r="H541" i="3"/>
  <c r="G541" i="3" s="1"/>
  <c r="AC541" i="3"/>
  <c r="BB541" i="3"/>
  <c r="BC541" i="3"/>
  <c r="BD541" i="3"/>
  <c r="BE541" i="3"/>
  <c r="BF541" i="3"/>
  <c r="BG541" i="3"/>
  <c r="BH541" i="3"/>
  <c r="BI541" i="3"/>
  <c r="BJ541" i="3"/>
  <c r="BK541" i="3"/>
  <c r="BM541" i="3"/>
  <c r="BL541" i="3" s="1"/>
  <c r="AZ541" i="3" s="1"/>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L549" i="3" s="1"/>
  <c r="AZ549" i="3" s="1"/>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AZ550" i="3" s="1"/>
  <c r="BR550" i="3"/>
  <c r="BS550" i="3"/>
  <c r="BT550" i="3"/>
  <c r="H551" i="3"/>
  <c r="AC551" i="3"/>
  <c r="BB551" i="3"/>
  <c r="BC551" i="3"/>
  <c r="BD551" i="3"/>
  <c r="BE551" i="3"/>
  <c r="BF551" i="3"/>
  <c r="BA551" i="3" s="1"/>
  <c r="BG551" i="3"/>
  <c r="BH551" i="3"/>
  <c r="BI551" i="3"/>
  <c r="BJ551" i="3"/>
  <c r="BK551" i="3"/>
  <c r="BM551" i="3"/>
  <c r="BL551" i="3" s="1"/>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A559" i="3" s="1"/>
  <c r="AZ559" i="3" s="1"/>
  <c r="BC559" i="3"/>
  <c r="BD559" i="3"/>
  <c r="BE559" i="3"/>
  <c r="BF559" i="3"/>
  <c r="BG559" i="3"/>
  <c r="BH559" i="3"/>
  <c r="BI559" i="3"/>
  <c r="BJ559" i="3"/>
  <c r="BK559" i="3"/>
  <c r="BM559" i="3"/>
  <c r="BN559" i="3"/>
  <c r="BO559" i="3"/>
  <c r="BP559" i="3"/>
  <c r="BR559" i="3"/>
  <c r="BS559" i="3"/>
  <c r="BT559" i="3"/>
  <c r="H560" i="3"/>
  <c r="AC560" i="3"/>
  <c r="BB560" i="3"/>
  <c r="BC560" i="3"/>
  <c r="BA560" i="3" s="1"/>
  <c r="BD560" i="3"/>
  <c r="BE560" i="3"/>
  <c r="BF560" i="3"/>
  <c r="BG560" i="3"/>
  <c r="BH560" i="3"/>
  <c r="BI560" i="3"/>
  <c r="BJ560" i="3"/>
  <c r="BK560" i="3"/>
  <c r="BM560" i="3"/>
  <c r="BN560" i="3"/>
  <c r="BL560" i="3" s="1"/>
  <c r="BO560" i="3"/>
  <c r="BP560" i="3"/>
  <c r="BQ560" i="3"/>
  <c r="BR560" i="3"/>
  <c r="BS560" i="3"/>
  <c r="BT560" i="3"/>
  <c r="H561" i="3"/>
  <c r="AC561" i="3"/>
  <c r="G561" i="3" s="1"/>
  <c r="BB561" i="3"/>
  <c r="BC561" i="3"/>
  <c r="BD561" i="3"/>
  <c r="BE561" i="3"/>
  <c r="BF561" i="3"/>
  <c r="BG561" i="3"/>
  <c r="BH561" i="3"/>
  <c r="BI561" i="3"/>
  <c r="BJ561" i="3"/>
  <c r="BK561" i="3"/>
  <c r="BM561" i="3"/>
  <c r="BN561" i="3"/>
  <c r="BL561" i="3" s="1"/>
  <c r="AZ561" i="3" s="1"/>
  <c r="BO561" i="3"/>
  <c r="BP561" i="3"/>
  <c r="BR561" i="3"/>
  <c r="BS561" i="3"/>
  <c r="BT561" i="3"/>
  <c r="H562" i="3"/>
  <c r="G562" i="3" s="1"/>
  <c r="AC562" i="3"/>
  <c r="BB562" i="3"/>
  <c r="BC562" i="3"/>
  <c r="BA562" i="3" s="1"/>
  <c r="BD562" i="3"/>
  <c r="BE562" i="3"/>
  <c r="BF562" i="3"/>
  <c r="BG562" i="3"/>
  <c r="BH562" i="3"/>
  <c r="BI562" i="3"/>
  <c r="BJ562" i="3"/>
  <c r="BK562" i="3"/>
  <c r="BM562" i="3"/>
  <c r="BN562" i="3"/>
  <c r="BL562" i="3" s="1"/>
  <c r="BO562" i="3"/>
  <c r="BP562" i="3"/>
  <c r="BQ562" i="3"/>
  <c r="BR562" i="3"/>
  <c r="BS562" i="3"/>
  <c r="BT562" i="3"/>
  <c r="H563" i="3"/>
  <c r="AC563" i="3"/>
  <c r="BB563" i="3"/>
  <c r="BC563" i="3"/>
  <c r="BA563" i="3" s="1"/>
  <c r="BD563" i="3"/>
  <c r="BE563" i="3"/>
  <c r="BF563" i="3"/>
  <c r="BG563" i="3"/>
  <c r="BH563" i="3"/>
  <c r="BI563" i="3"/>
  <c r="BJ563" i="3"/>
  <c r="BK563" i="3"/>
  <c r="BM563" i="3"/>
  <c r="BN563" i="3"/>
  <c r="BL563" i="3" s="1"/>
  <c r="BO563" i="3"/>
  <c r="BP563" i="3"/>
  <c r="BR563" i="3"/>
  <c r="BS563" i="3"/>
  <c r="BT563" i="3"/>
  <c r="H564" i="3"/>
  <c r="G564" i="3" s="1"/>
  <c r="AC564" i="3"/>
  <c r="BB564" i="3"/>
  <c r="BA564" i="3" s="1"/>
  <c r="AZ564" i="3" s="1"/>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A574" i="3" s="1"/>
  <c r="AZ574" i="3" s="1"/>
  <c r="BC574" i="3"/>
  <c r="BD574" i="3"/>
  <c r="BE574" i="3"/>
  <c r="BF574" i="3"/>
  <c r="BG574" i="3"/>
  <c r="BH574" i="3"/>
  <c r="BI574" i="3"/>
  <c r="BJ574" i="3"/>
  <c r="BK574" i="3"/>
  <c r="BM574" i="3"/>
  <c r="BN574" i="3"/>
  <c r="BO574" i="3"/>
  <c r="BP574" i="3"/>
  <c r="BQ574" i="3"/>
  <c r="BR574" i="3"/>
  <c r="BS574" i="3"/>
  <c r="BT574" i="3"/>
  <c r="H575" i="3"/>
  <c r="AC575" i="3"/>
  <c r="BB575" i="3"/>
  <c r="BA575" i="3" s="1"/>
  <c r="BC575" i="3"/>
  <c r="BD575" i="3"/>
  <c r="BE575" i="3"/>
  <c r="BF575" i="3"/>
  <c r="BG575" i="3"/>
  <c r="BH575" i="3"/>
  <c r="BI575" i="3"/>
  <c r="BJ575" i="3"/>
  <c r="BK575" i="3"/>
  <c r="BM575" i="3"/>
  <c r="BL575" i="3" s="1"/>
  <c r="BN575" i="3"/>
  <c r="BO575" i="3"/>
  <c r="BP575" i="3"/>
  <c r="BR575" i="3"/>
  <c r="BS575" i="3"/>
  <c r="BT575" i="3"/>
  <c r="H576" i="3"/>
  <c r="AC576" i="3"/>
  <c r="BB576" i="3"/>
  <c r="BC576" i="3"/>
  <c r="BA576" i="3" s="1"/>
  <c r="BD576" i="3"/>
  <c r="BE576" i="3"/>
  <c r="BF576" i="3"/>
  <c r="BG576" i="3"/>
  <c r="BH576" i="3"/>
  <c r="BI576" i="3"/>
  <c r="BJ576" i="3"/>
  <c r="BK576" i="3"/>
  <c r="BM576" i="3"/>
  <c r="BN576" i="3"/>
  <c r="BL576" i="3" s="1"/>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G578" i="3" s="1"/>
  <c r="AC578" i="3"/>
  <c r="BB578" i="3"/>
  <c r="BC578" i="3"/>
  <c r="BA578" i="3" s="1"/>
  <c r="BD578" i="3"/>
  <c r="BE578" i="3"/>
  <c r="BF578" i="3"/>
  <c r="BG578" i="3"/>
  <c r="BH578" i="3"/>
  <c r="BI578" i="3"/>
  <c r="BJ578" i="3"/>
  <c r="BK578" i="3"/>
  <c r="BM578" i="3"/>
  <c r="BN578" i="3"/>
  <c r="BL578" i="3" s="1"/>
  <c r="BO578" i="3"/>
  <c r="BP578" i="3"/>
  <c r="BQ578" i="3"/>
  <c r="BR578" i="3"/>
  <c r="BS578" i="3"/>
  <c r="BT578" i="3"/>
  <c r="H579" i="3"/>
  <c r="AC579" i="3"/>
  <c r="BB579" i="3"/>
  <c r="BC579" i="3"/>
  <c r="BA579" i="3" s="1"/>
  <c r="BD579" i="3"/>
  <c r="BE579" i="3"/>
  <c r="BF579" i="3"/>
  <c r="BG579" i="3"/>
  <c r="BH579" i="3"/>
  <c r="BI579" i="3"/>
  <c r="BJ579" i="3"/>
  <c r="BK579" i="3"/>
  <c r="BM579" i="3"/>
  <c r="BN579" i="3"/>
  <c r="BL579" i="3" s="1"/>
  <c r="BO579" i="3"/>
  <c r="BP579" i="3"/>
  <c r="BR579" i="3"/>
  <c r="BS579" i="3"/>
  <c r="BT579" i="3"/>
  <c r="H580" i="3"/>
  <c r="G580" i="3" s="1"/>
  <c r="AC580" i="3"/>
  <c r="BB580" i="3"/>
  <c r="BA580" i="3" s="1"/>
  <c r="AZ580" i="3" s="1"/>
  <c r="BC580" i="3"/>
  <c r="BD580" i="3"/>
  <c r="BE580" i="3"/>
  <c r="BF580" i="3"/>
  <c r="BG580" i="3"/>
  <c r="BH580" i="3"/>
  <c r="BI580" i="3"/>
  <c r="BJ580" i="3"/>
  <c r="BK580" i="3"/>
  <c r="BM580" i="3"/>
  <c r="BN580" i="3"/>
  <c r="BO580" i="3"/>
  <c r="BP580" i="3"/>
  <c r="BQ580" i="3"/>
  <c r="BR580" i="3"/>
  <c r="BS580" i="3"/>
  <c r="BT580" i="3"/>
  <c r="H581" i="3"/>
  <c r="G581" i="3" s="1"/>
  <c r="AC581" i="3"/>
  <c r="BB581" i="3"/>
  <c r="BA581" i="3" s="1"/>
  <c r="BC581" i="3"/>
  <c r="BD581" i="3"/>
  <c r="BE581" i="3"/>
  <c r="BF581" i="3"/>
  <c r="BG581" i="3"/>
  <c r="BH581" i="3"/>
  <c r="BI581" i="3"/>
  <c r="BJ581" i="3"/>
  <c r="BK581" i="3"/>
  <c r="BM581" i="3"/>
  <c r="BL581" i="3" s="1"/>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S42" i="34" s="1"/>
  <c r="J38" i="34"/>
  <c r="W38" i="34"/>
  <c r="D114" i="34"/>
  <c r="F38" i="34"/>
  <c r="S38" i="34" s="1"/>
  <c r="D112" i="34"/>
  <c r="E112" i="34" s="1"/>
  <c r="F112" i="34"/>
  <c r="G112" i="34" s="1"/>
  <c r="H112" i="34" s="1"/>
  <c r="I112" i="34" s="1"/>
  <c r="J112" i="34" s="1"/>
  <c r="K112" i="34" s="1"/>
  <c r="L112" i="34" s="1"/>
  <c r="M112" i="34" s="1"/>
  <c r="F40" i="33"/>
  <c r="S40" i="33" s="1"/>
  <c r="J41" i="33"/>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s="1"/>
  <c r="B101" i="40"/>
  <c r="J31" i="40" s="1"/>
  <c r="AC31" i="40" s="1"/>
  <c r="D100" i="40"/>
  <c r="E100" i="40" s="1"/>
  <c r="F100" i="40"/>
  <c r="G100" i="40" s="1"/>
  <c r="H100" i="40" s="1"/>
  <c r="I100" i="40" s="1"/>
  <c r="J100" i="40" s="1"/>
  <c r="K100" i="40" s="1"/>
  <c r="L100" i="40" s="1"/>
  <c r="M100" i="40" s="1"/>
  <c r="D98" i="40"/>
  <c r="D96" i="40"/>
  <c r="E96" i="40" s="1"/>
  <c r="F96" i="40"/>
  <c r="G96" i="40" s="1"/>
  <c r="H96" i="40" s="1"/>
  <c r="I96" i="40" s="1"/>
  <c r="J96" i="40" s="1"/>
  <c r="K96" i="40" s="1"/>
  <c r="L96" i="40" s="1"/>
  <c r="M96" i="40" s="1"/>
  <c r="B95" i="40"/>
  <c r="D92" i="40"/>
  <c r="E92" i="40" s="1"/>
  <c r="F92" i="40" s="1"/>
  <c r="G92" i="40" s="1"/>
  <c r="D90" i="40"/>
  <c r="E90" i="40" s="1"/>
  <c r="F90" i="40" s="1"/>
  <c r="G90" i="40" s="1"/>
  <c r="D88" i="40"/>
  <c r="E88" i="40"/>
  <c r="F88" i="40" s="1"/>
  <c r="G88" i="40" s="1"/>
  <c r="D86" i="40"/>
  <c r="E86" i="40" s="1"/>
  <c r="F86" i="40" s="1"/>
  <c r="G86" i="40" s="1"/>
  <c r="D84" i="40"/>
  <c r="E84" i="40" s="1"/>
  <c r="F84" i="40" s="1"/>
  <c r="G84" i="40" s="1"/>
  <c r="B81" i="40"/>
  <c r="B79" i="40"/>
  <c r="H13" i="40" s="1"/>
  <c r="B77" i="40"/>
  <c r="J12" i="40"/>
  <c r="AC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c r="Q36" i="40"/>
  <c r="Z36" i="40"/>
  <c r="Q35" i="40"/>
  <c r="Z35" i="40"/>
  <c r="Q34" i="40"/>
  <c r="Z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c r="Q10" i="40"/>
  <c r="Z10" i="40"/>
  <c r="Q9" i="40"/>
  <c r="Z9" i="40"/>
  <c r="J9" i="40"/>
  <c r="W9" i="40" s="1"/>
  <c r="H9" i="40"/>
  <c r="AB9" i="40" s="1"/>
  <c r="F9" i="40"/>
  <c r="S9" i="40" s="1"/>
  <c r="J8" i="40"/>
  <c r="AC8" i="40" s="1"/>
  <c r="H8" i="40"/>
  <c r="AB8" i="40" s="1"/>
  <c r="F8" i="40"/>
  <c r="AA8" i="40" s="1"/>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W37" i="39" s="1"/>
  <c r="D109" i="39"/>
  <c r="F34" i="39"/>
  <c r="AA34" i="39" s="1"/>
  <c r="D107" i="39"/>
  <c r="E107" i="39" s="1"/>
  <c r="D105" i="39"/>
  <c r="E105" i="39" s="1"/>
  <c r="F105" i="39" s="1"/>
  <c r="G105" i="39" s="1"/>
  <c r="H105" i="39" s="1"/>
  <c r="I105" i="39" s="1"/>
  <c r="J105" i="39" s="1"/>
  <c r="K105" i="39" s="1"/>
  <c r="L105" i="39" s="1"/>
  <c r="M105" i="39" s="1"/>
  <c r="D101" i="39"/>
  <c r="D99" i="39"/>
  <c r="E99" i="39"/>
  <c r="F99" i="39" s="1"/>
  <c r="G99" i="39"/>
  <c r="Q39" i="39"/>
  <c r="Z39" i="39"/>
  <c r="Q40" i="39"/>
  <c r="Z40" i="39"/>
  <c r="Q41" i="39"/>
  <c r="Z41" i="39"/>
  <c r="Q42" i="39"/>
  <c r="Z42" i="39"/>
  <c r="Q43" i="39"/>
  <c r="Z43" i="39"/>
  <c r="Q44" i="39"/>
  <c r="Z44" i="39"/>
  <c r="Q45" i="39"/>
  <c r="Z45" i="39"/>
  <c r="Q38" i="39"/>
  <c r="Z38" i="39"/>
  <c r="Q36" i="39"/>
  <c r="Z36" i="39"/>
  <c r="Q37" i="39"/>
  <c r="Z37" i="39"/>
  <c r="B131" i="39"/>
  <c r="H45" i="39"/>
  <c r="U45" i="39" s="1"/>
  <c r="B129" i="39"/>
  <c r="H44" i="39"/>
  <c r="AB44" i="39" s="1"/>
  <c r="B127" i="39"/>
  <c r="J43" i="39"/>
  <c r="AC43" i="39" s="1"/>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AB35" i="39"/>
  <c r="B104" i="39"/>
  <c r="D97" i="39"/>
  <c r="J23" i="39"/>
  <c r="AC23" i="39"/>
  <c r="D95" i="39"/>
  <c r="E95" i="39"/>
  <c r="F95" i="39" s="1"/>
  <c r="D93" i="39"/>
  <c r="E93" i="39" s="1"/>
  <c r="F93" i="39" s="1"/>
  <c r="G93" i="39" s="1"/>
  <c r="D91" i="39"/>
  <c r="E91" i="39" s="1"/>
  <c r="F91" i="39" s="1"/>
  <c r="G91" i="39" s="1"/>
  <c r="D89" i="39"/>
  <c r="E89" i="39" s="1"/>
  <c r="F89" i="39" s="1"/>
  <c r="G89" i="39" s="1"/>
  <c r="B86" i="39"/>
  <c r="H14" i="39" s="1"/>
  <c r="B84" i="39"/>
  <c r="B82" i="39"/>
  <c r="J12" i="39" s="1"/>
  <c r="W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U27" i="37"/>
  <c r="B82" i="37"/>
  <c r="D79" i="37"/>
  <c r="E79" i="37" s="1"/>
  <c r="F79" i="37" s="1"/>
  <c r="G79" i="37" s="1"/>
  <c r="D75" i="37"/>
  <c r="E75" i="37" s="1"/>
  <c r="D73" i="37"/>
  <c r="E73" i="37" s="1"/>
  <c r="F73" i="37" s="1"/>
  <c r="G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H33" i="36"/>
  <c r="U33" i="36" s="1"/>
  <c r="B91" i="36"/>
  <c r="F32" i="36"/>
  <c r="AA32" i="36" s="1"/>
  <c r="B95" i="36"/>
  <c r="H34" i="36"/>
  <c r="U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B55" i="36"/>
  <c r="F54" i="36"/>
  <c r="G54" i="36"/>
  <c r="H54" i="36" s="1"/>
  <c r="I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J35" i="35" s="1"/>
  <c r="B97" i="35"/>
  <c r="B77" i="35"/>
  <c r="J25" i="35" s="1"/>
  <c r="B75" i="35"/>
  <c r="J24" i="35"/>
  <c r="AC24" i="35" s="1"/>
  <c r="B73" i="35"/>
  <c r="H23" i="35" s="1"/>
  <c r="U23" i="35"/>
  <c r="B57" i="35"/>
  <c r="B61" i="35"/>
  <c r="F13" i="35" s="1"/>
  <c r="B59" i="35"/>
  <c r="B131" i="34"/>
  <c r="H47" i="34" s="1"/>
  <c r="B129" i="34"/>
  <c r="B127" i="34"/>
  <c r="H45" i="34" s="1"/>
  <c r="B99" i="34"/>
  <c r="B97" i="34"/>
  <c r="J31" i="34" s="1"/>
  <c r="B95" i="34"/>
  <c r="B93" i="34"/>
  <c r="F29" i="34" s="1"/>
  <c r="B75" i="34"/>
  <c r="B73" i="34"/>
  <c r="B71" i="34"/>
  <c r="B130" i="33"/>
  <c r="B128" i="33"/>
  <c r="B126" i="33"/>
  <c r="H44" i="33" s="1"/>
  <c r="B98" i="33"/>
  <c r="B96" i="33"/>
  <c r="H30" i="33" s="1"/>
  <c r="B94" i="33"/>
  <c r="B74" i="33"/>
  <c r="B72" i="33"/>
  <c r="B70" i="33"/>
  <c r="J12" i="33" s="1"/>
  <c r="W12" i="33" s="1"/>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c r="H56" i="35" s="1"/>
  <c r="I56" i="35" s="1"/>
  <c r="C53" i="35"/>
  <c r="J9" i="35"/>
  <c r="W9" i="35" s="1"/>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c r="AC27" i="34" s="1"/>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AB12" i="34" s="1"/>
  <c r="F12" i="34"/>
  <c r="S12" i="34"/>
  <c r="Q11" i="34"/>
  <c r="Z11" i="34"/>
  <c r="Q10" i="34"/>
  <c r="Z10" i="34"/>
  <c r="F10" i="34"/>
  <c r="AA10" i="34"/>
  <c r="Q9" i="34"/>
  <c r="Z9" i="34"/>
  <c r="F9" i="34"/>
  <c r="AA9" i="34" s="1"/>
  <c r="J8" i="34"/>
  <c r="AC8" i="34" s="1"/>
  <c r="H8" i="34"/>
  <c r="U8" i="34" s="1"/>
  <c r="F8" i="34"/>
  <c r="AA8" i="34" s="1"/>
  <c r="D121" i="33"/>
  <c r="E121" i="33"/>
  <c r="F121" i="33" s="1"/>
  <c r="G121" i="33" s="1"/>
  <c r="H121" i="33" s="1"/>
  <c r="I121" i="33" s="1"/>
  <c r="J121" i="33" s="1"/>
  <c r="K121" i="33" s="1"/>
  <c r="L121" i="33" s="1"/>
  <c r="M121" i="33" s="1"/>
  <c r="F109" i="33"/>
  <c r="E109" i="33"/>
  <c r="D109" i="33"/>
  <c r="C109" i="33"/>
  <c r="D91" i="33"/>
  <c r="E91" i="33"/>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B90" i="33"/>
  <c r="D87" i="33"/>
  <c r="E87" i="33" s="1"/>
  <c r="F87" i="33" s="1"/>
  <c r="G87" i="33" s="1"/>
  <c r="H87" i="33" s="1"/>
  <c r="D85" i="33"/>
  <c r="E85" i="33" s="1"/>
  <c r="F85" i="33" s="1"/>
  <c r="G85" i="33" s="1"/>
  <c r="D81" i="33"/>
  <c r="E81" i="33" s="1"/>
  <c r="F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I66" i="33" s="1"/>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B126" i="21"/>
  <c r="B98" i="21"/>
  <c r="H31" i="21" s="1"/>
  <c r="B96" i="21"/>
  <c r="B94" i="21"/>
  <c r="J29" i="21"/>
  <c r="AC29" i="21" s="1"/>
  <c r="B92" i="21"/>
  <c r="B90" i="21"/>
  <c r="J27" i="21"/>
  <c r="W27" i="21" s="1"/>
  <c r="B74" i="21"/>
  <c r="B72" i="21"/>
  <c r="H13" i="21"/>
  <c r="U13" i="21" s="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A586" i="3" s="1"/>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29" i="36"/>
  <c r="AA29" i="36" s="1"/>
  <c r="W8" i="36"/>
  <c r="F16" i="36"/>
  <c r="AA16" i="36"/>
  <c r="U9" i="36"/>
  <c r="W28" i="36"/>
  <c r="S30" i="36"/>
  <c r="AA31" i="36"/>
  <c r="AC31" i="36"/>
  <c r="W31" i="36"/>
  <c r="J33" i="36"/>
  <c r="W33" i="36" s="1"/>
  <c r="H22" i="35"/>
  <c r="AB22" i="35" s="1"/>
  <c r="AC27" i="35"/>
  <c r="U31" i="35"/>
  <c r="S34" i="35"/>
  <c r="W34" i="35"/>
  <c r="W36" i="35"/>
  <c r="W22" i="35"/>
  <c r="S31" i="35"/>
  <c r="U34" i="35"/>
  <c r="F36" i="34"/>
  <c r="J35" i="34"/>
  <c r="W35" i="34" s="1"/>
  <c r="S34" i="34"/>
  <c r="U34" i="34"/>
  <c r="H39" i="33"/>
  <c r="AB39" i="33" s="1"/>
  <c r="F26" i="33"/>
  <c r="AA26" i="33" s="1"/>
  <c r="S9" i="33"/>
  <c r="U33" i="33"/>
  <c r="U35" i="33"/>
  <c r="W33" i="33"/>
  <c r="W39" i="33"/>
  <c r="H39" i="37"/>
  <c r="AB39" i="37" s="1"/>
  <c r="S27" i="35"/>
  <c r="AC40" i="40"/>
  <c r="AC9" i="40"/>
  <c r="S40" i="40"/>
  <c r="F42" i="39"/>
  <c r="AA42" i="39" s="1"/>
  <c r="F41" i="39"/>
  <c r="S41" i="39" s="1"/>
  <c r="H40" i="39"/>
  <c r="AB40" i="39" s="1"/>
  <c r="H39" i="39"/>
  <c r="U39" i="39" s="1"/>
  <c r="S38" i="39"/>
  <c r="H34" i="39"/>
  <c r="U34" i="39" s="1"/>
  <c r="E109" i="39"/>
  <c r="H31" i="39"/>
  <c r="AB31" i="39"/>
  <c r="F31" i="39"/>
  <c r="AA31" i="39"/>
  <c r="E101" i="39"/>
  <c r="H19" i="39"/>
  <c r="AB19" i="39" s="1"/>
  <c r="F19" i="39"/>
  <c r="AA19" i="39" s="1"/>
  <c r="H17" i="39"/>
  <c r="AB17" i="39" s="1"/>
  <c r="F17" i="39"/>
  <c r="AA17" i="39" s="1"/>
  <c r="F21" i="40"/>
  <c r="AA21" i="40" s="1"/>
  <c r="H42" i="39"/>
  <c r="AB42" i="39" s="1"/>
  <c r="J34" i="39"/>
  <c r="AC34" i="39" s="1"/>
  <c r="F109" i="39"/>
  <c r="G109" i="39" s="1"/>
  <c r="H109" i="39" s="1"/>
  <c r="I109" i="39" s="1"/>
  <c r="J109" i="39" s="1"/>
  <c r="K109" i="39" s="1"/>
  <c r="L109" i="39" s="1"/>
  <c r="M109" i="39" s="1"/>
  <c r="J31" i="39"/>
  <c r="W31" i="39" s="1"/>
  <c r="F101" i="39"/>
  <c r="H27" i="39"/>
  <c r="U27" i="39" s="1"/>
  <c r="J19" i="39"/>
  <c r="AC19" i="39" s="1"/>
  <c r="J17" i="39"/>
  <c r="W17" i="39" s="1"/>
  <c r="J27" i="39"/>
  <c r="AC27" i="39"/>
  <c r="F27" i="39"/>
  <c r="F11" i="21"/>
  <c r="S11" i="21" s="1"/>
  <c r="S40" i="21"/>
  <c r="U34" i="21"/>
  <c r="S34" i="21"/>
  <c r="C27" i="39"/>
  <c r="H11" i="39"/>
  <c r="AB11" i="39" s="1"/>
  <c r="S40" i="39"/>
  <c r="C15" i="39"/>
  <c r="H32" i="33"/>
  <c r="AB32" i="33"/>
  <c r="H11" i="21"/>
  <c r="U11" i="21"/>
  <c r="J11" i="21"/>
  <c r="W11" i="21"/>
  <c r="H37" i="40"/>
  <c r="U37" i="40" s="1"/>
  <c r="H36" i="40"/>
  <c r="AB36" i="40" s="1"/>
  <c r="F35" i="40"/>
  <c r="AA35" i="40" s="1"/>
  <c r="H23" i="40"/>
  <c r="AB23" i="40" s="1"/>
  <c r="AB8" i="39"/>
  <c r="AC12" i="34"/>
  <c r="AA12" i="34"/>
  <c r="AB12" i="35"/>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24" i="36"/>
  <c r="AA24" i="36" s="1"/>
  <c r="F34" i="36"/>
  <c r="S34" i="36" s="1"/>
  <c r="S10" i="36"/>
  <c r="AB8" i="36"/>
  <c r="S8" i="36"/>
  <c r="F14" i="35"/>
  <c r="AA14" i="35" s="1"/>
  <c r="F23" i="35"/>
  <c r="AA23" i="35" s="1"/>
  <c r="J32" i="35"/>
  <c r="AC32" i="35" s="1"/>
  <c r="J16" i="35"/>
  <c r="AC16" i="35" s="1"/>
  <c r="H16" i="35"/>
  <c r="U16" i="35" s="1"/>
  <c r="F16" i="35"/>
  <c r="S16" i="35" s="1"/>
  <c r="H14" i="35"/>
  <c r="AB14" i="35" s="1"/>
  <c r="J29" i="35"/>
  <c r="AC29" i="35" s="1"/>
  <c r="H33" i="35"/>
  <c r="AB33" i="35"/>
  <c r="J20" i="35"/>
  <c r="W20" i="35" s="1"/>
  <c r="F35" i="37"/>
  <c r="S35" i="37" s="1"/>
  <c r="E101" i="37"/>
  <c r="F101" i="37" s="1"/>
  <c r="G101" i="37" s="1"/>
  <c r="H101" i="37" s="1"/>
  <c r="I101" i="37" s="1"/>
  <c r="J101" i="37" s="1"/>
  <c r="K101" i="37" s="1"/>
  <c r="L101" i="37" s="1"/>
  <c r="M101" i="37" s="1"/>
  <c r="J34" i="37"/>
  <c r="W34" i="37"/>
  <c r="S10" i="37"/>
  <c r="AB34" i="37"/>
  <c r="J33" i="37"/>
  <c r="AC33" i="37" s="1"/>
  <c r="U42" i="34"/>
  <c r="H40" i="34"/>
  <c r="U40" i="34"/>
  <c r="E114" i="34"/>
  <c r="H36" i="34"/>
  <c r="U36" i="34" s="1"/>
  <c r="F37" i="34"/>
  <c r="AA37" i="34" s="1"/>
  <c r="S35" i="34"/>
  <c r="F27" i="34"/>
  <c r="AA27" i="34"/>
  <c r="F25" i="34"/>
  <c r="S25" i="34"/>
  <c r="H23" i="34"/>
  <c r="U23" i="34"/>
  <c r="J23" i="34"/>
  <c r="F19" i="34"/>
  <c r="AA19" i="34" s="1"/>
  <c r="H17" i="34"/>
  <c r="U17" i="34"/>
  <c r="F15" i="34"/>
  <c r="J15" i="34"/>
  <c r="AC15" i="34" s="1"/>
  <c r="H15" i="34"/>
  <c r="AB15" i="34"/>
  <c r="W8" i="34"/>
  <c r="F41" i="33"/>
  <c r="AA41" i="33"/>
  <c r="S38" i="33"/>
  <c r="E113" i="33"/>
  <c r="F113" i="33" s="1"/>
  <c r="G113" i="33" s="1"/>
  <c r="H113" i="33" s="1"/>
  <c r="I113" i="33" s="1"/>
  <c r="J113" i="33" s="1"/>
  <c r="K113" i="33" s="1"/>
  <c r="L113" i="33" s="1"/>
  <c r="M113" i="33" s="1"/>
  <c r="F32" i="33"/>
  <c r="AA32" i="33"/>
  <c r="J19" i="33"/>
  <c r="AC19" i="33"/>
  <c r="J15" i="33"/>
  <c r="AC15" i="33"/>
  <c r="F11" i="33"/>
  <c r="AA11" i="33"/>
  <c r="U40" i="33"/>
  <c r="U8" i="33"/>
  <c r="S8" i="33"/>
  <c r="F37" i="40"/>
  <c r="AA37" i="40" s="1"/>
  <c r="F36" i="40"/>
  <c r="AA36" i="40" s="1"/>
  <c r="H28" i="40"/>
  <c r="U28" i="40" s="1"/>
  <c r="F23" i="40"/>
  <c r="AA23" i="40" s="1"/>
  <c r="J17" i="40"/>
  <c r="W17" i="40" s="1"/>
  <c r="H15" i="40"/>
  <c r="AB15" i="40" s="1"/>
  <c r="AB30" i="36"/>
  <c r="AC34"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H37" i="33"/>
  <c r="AB37" i="33"/>
  <c r="H15" i="33"/>
  <c r="AB15" i="33"/>
  <c r="H11" i="33"/>
  <c r="AB11" i="33"/>
  <c r="AA29" i="35"/>
  <c r="AA42" i="34"/>
  <c r="AC38" i="34"/>
  <c r="J37" i="34"/>
  <c r="AC37" i="34" s="1"/>
  <c r="J11" i="33"/>
  <c r="W11" i="33" s="1"/>
  <c r="J42" i="21"/>
  <c r="AC42" i="21" s="1"/>
  <c r="H42" i="21"/>
  <c r="U42" i="21" s="1"/>
  <c r="J44" i="34"/>
  <c r="AC44" i="34" s="1"/>
  <c r="F44" i="34"/>
  <c r="AA44" i="34"/>
  <c r="J10" i="35"/>
  <c r="W10" i="35"/>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W13" i="33" s="1"/>
  <c r="H13" i="33"/>
  <c r="AB13" i="33"/>
  <c r="F13" i="33"/>
  <c r="S13" i="33"/>
  <c r="J29" i="33"/>
  <c r="AC29" i="33"/>
  <c r="H29" i="33"/>
  <c r="U29" i="33"/>
  <c r="F29" i="33"/>
  <c r="S29" i="33"/>
  <c r="J31" i="33"/>
  <c r="W31" i="33"/>
  <c r="H31" i="33"/>
  <c r="F31" i="33"/>
  <c r="S31" i="33" s="1"/>
  <c r="H45" i="33"/>
  <c r="U45" i="33"/>
  <c r="J45" i="33"/>
  <c r="W45" i="33"/>
  <c r="F45" i="33"/>
  <c r="AA45" i="33"/>
  <c r="J14" i="34"/>
  <c r="W14" i="34"/>
  <c r="F14" i="34"/>
  <c r="S14" i="34"/>
  <c r="H14" i="34"/>
  <c r="H30" i="34"/>
  <c r="U30" i="34" s="1"/>
  <c r="F30" i="34"/>
  <c r="S30" i="34"/>
  <c r="J30" i="34"/>
  <c r="W30" i="34"/>
  <c r="H32" i="34"/>
  <c r="F32" i="34"/>
  <c r="S32" i="34" s="1"/>
  <c r="J32" i="34"/>
  <c r="W32" i="34"/>
  <c r="H46" i="34"/>
  <c r="U46" i="34"/>
  <c r="F46" i="34"/>
  <c r="J46" i="34"/>
  <c r="W46" i="34" s="1"/>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H14" i="33"/>
  <c r="U14" i="33" s="1"/>
  <c r="F14" i="33"/>
  <c r="S14" i="33" s="1"/>
  <c r="J14" i="33"/>
  <c r="AC14" i="33" s="1"/>
  <c r="J30" i="33"/>
  <c r="AC30" i="33" s="1"/>
  <c r="J44" i="33"/>
  <c r="AC44" i="33" s="1"/>
  <c r="F44" i="33"/>
  <c r="S44" i="33" s="1"/>
  <c r="J46" i="33"/>
  <c r="AC46" i="33" s="1"/>
  <c r="F46" i="33"/>
  <c r="AA46" i="33" s="1"/>
  <c r="H46" i="33"/>
  <c r="AB46" i="33" s="1"/>
  <c r="H13" i="34"/>
  <c r="U13" i="34" s="1"/>
  <c r="J13" i="34"/>
  <c r="W13" i="34" s="1"/>
  <c r="F13" i="34"/>
  <c r="AA13" i="34" s="1"/>
  <c r="J29" i="34"/>
  <c r="AC29" i="34" s="1"/>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S14" i="39" s="1"/>
  <c r="F12" i="40"/>
  <c r="S12" i="40" s="1"/>
  <c r="H12" i="40"/>
  <c r="AB12" i="40" s="1"/>
  <c r="H30" i="40"/>
  <c r="AB30" i="40"/>
  <c r="F33" i="40"/>
  <c r="AA33" i="40" s="1"/>
  <c r="H33" i="40"/>
  <c r="U33" i="40" s="1"/>
  <c r="J35" i="40"/>
  <c r="AC35" i="40" s="1"/>
  <c r="J37" i="40"/>
  <c r="AC37" i="40" s="1"/>
  <c r="J13" i="40"/>
  <c r="W13" i="40" s="1"/>
  <c r="F14" i="37"/>
  <c r="S14" i="37" s="1"/>
  <c r="F27" i="37"/>
  <c r="AA27" i="37" s="1"/>
  <c r="F13" i="39"/>
  <c r="AA13" i="39" s="1"/>
  <c r="J13" i="39"/>
  <c r="W13" i="39"/>
  <c r="H13" i="39"/>
  <c r="H14" i="40"/>
  <c r="AB14" i="40" s="1"/>
  <c r="J14" i="40"/>
  <c r="W14" i="40" s="1"/>
  <c r="F14" i="40"/>
  <c r="AA14" i="40" s="1"/>
  <c r="J27" i="37"/>
  <c r="AC27" i="37"/>
  <c r="U46" i="33"/>
  <c r="J36" i="37"/>
  <c r="AC36" i="37" s="1"/>
  <c r="G105" i="37"/>
  <c r="AB11" i="36"/>
  <c r="AB11" i="35"/>
  <c r="J10" i="36"/>
  <c r="AC10" i="36"/>
  <c r="AB26" i="33"/>
  <c r="AB30" i="21"/>
  <c r="AC13" i="36"/>
  <c r="W13" i="36"/>
  <c r="S11" i="36"/>
  <c r="W11" i="36"/>
  <c r="W11" i="35"/>
  <c r="AB46" i="34"/>
  <c r="AC30" i="34"/>
  <c r="AA14" i="34"/>
  <c r="S45" i="33"/>
  <c r="AB45" i="33"/>
  <c r="AB31" i="33"/>
  <c r="U31" i="33"/>
  <c r="W29" i="33"/>
  <c r="U13" i="33"/>
  <c r="S44" i="34"/>
  <c r="BA585" i="3"/>
  <c r="F17" i="21"/>
  <c r="AA17" i="21"/>
  <c r="H17" i="21"/>
  <c r="AB17" i="21"/>
  <c r="F15" i="21"/>
  <c r="S15" i="21"/>
  <c r="AB11" i="21"/>
  <c r="J41" i="39"/>
  <c r="W41" i="39" s="1"/>
  <c r="AC45" i="39"/>
  <c r="W44" i="39"/>
  <c r="W36" i="39"/>
  <c r="W35" i="39"/>
  <c r="U36" i="39"/>
  <c r="S35" i="39"/>
  <c r="G544" i="3"/>
  <c r="G536" i="3"/>
  <c r="G532" i="3"/>
  <c r="G528" i="3"/>
  <c r="G523" i="3"/>
  <c r="G514" i="3"/>
  <c r="G508" i="3"/>
  <c r="G500" i="3"/>
  <c r="G584" i="3"/>
  <c r="G576" i="3"/>
  <c r="G572" i="3"/>
  <c r="G568" i="3"/>
  <c r="G560" i="3"/>
  <c r="G554" i="3"/>
  <c r="G550" i="3"/>
  <c r="BL584" i="3"/>
  <c r="BL580" i="3"/>
  <c r="BL572" i="3"/>
  <c r="BL568" i="3"/>
  <c r="BL564" i="3"/>
  <c r="BL554" i="3"/>
  <c r="BL546" i="3"/>
  <c r="BL542" i="3"/>
  <c r="BL534" i="3"/>
  <c r="BL526" i="3"/>
  <c r="BL516" i="3"/>
  <c r="BL506" i="3"/>
  <c r="BL498" i="3"/>
  <c r="BL582" i="3"/>
  <c r="BL574" i="3"/>
  <c r="BL570" i="3"/>
  <c r="BL566" i="3"/>
  <c r="BL556" i="3"/>
  <c r="BL552" i="3"/>
  <c r="BL544" i="3"/>
  <c r="BL536" i="3"/>
  <c r="BL532" i="3"/>
  <c r="BL528" i="3"/>
  <c r="BL524" i="3"/>
  <c r="BL514" i="3"/>
  <c r="BL504" i="3"/>
  <c r="BL496" i="3"/>
  <c r="BA584" i="3"/>
  <c r="BA582" i="3"/>
  <c r="AZ582" i="3"/>
  <c r="BA572" i="3"/>
  <c r="AZ572" i="3"/>
  <c r="BA570" i="3"/>
  <c r="AZ570" i="3"/>
  <c r="BA568" i="3"/>
  <c r="AZ568" i="3"/>
  <c r="BA566" i="3"/>
  <c r="AZ566" i="3"/>
  <c r="BA558" i="3"/>
  <c r="AZ558" i="3" s="1"/>
  <c r="BA556" i="3"/>
  <c r="AZ556" i="3" s="1"/>
  <c r="BA554" i="3"/>
  <c r="AZ554" i="3" s="1"/>
  <c r="BA552" i="3"/>
  <c r="AZ552" i="3" s="1"/>
  <c r="BA548" i="3"/>
  <c r="BA546" i="3"/>
  <c r="BA544" i="3"/>
  <c r="AZ544" i="3" s="1"/>
  <c r="BA542" i="3"/>
  <c r="AZ542" i="3" s="1"/>
  <c r="BA540" i="3"/>
  <c r="BA538" i="3"/>
  <c r="AZ538" i="3" s="1"/>
  <c r="BA536" i="3"/>
  <c r="AZ536" i="3" s="1"/>
  <c r="BA534" i="3"/>
  <c r="AZ534" i="3" s="1"/>
  <c r="BA532" i="3"/>
  <c r="AZ532" i="3" s="1"/>
  <c r="BA530" i="3"/>
  <c r="BA520" i="3"/>
  <c r="AZ520" i="3" s="1"/>
  <c r="BA512" i="3"/>
  <c r="AZ512" i="3" s="1"/>
  <c r="BA510" i="3"/>
  <c r="AZ510" i="3" s="1"/>
  <c r="BA508" i="3"/>
  <c r="AZ508" i="3" s="1"/>
  <c r="BA504" i="3"/>
  <c r="AZ504" i="3" s="1"/>
  <c r="BA502" i="3"/>
  <c r="AZ502" i="3" s="1"/>
  <c r="BA498" i="3"/>
  <c r="AZ498" i="3" s="1"/>
  <c r="BA496" i="3"/>
  <c r="BA587" i="3"/>
  <c r="AZ587" i="3" s="1"/>
  <c r="BA583" i="3"/>
  <c r="AZ583" i="3" s="1"/>
  <c r="BA577" i="3"/>
  <c r="AZ577" i="3" s="1"/>
  <c r="BA573" i="3"/>
  <c r="AZ573" i="3" s="1"/>
  <c r="BA571" i="3"/>
  <c r="BA569" i="3"/>
  <c r="AZ569" i="3" s="1"/>
  <c r="BA567" i="3"/>
  <c r="BA565" i="3"/>
  <c r="AZ565" i="3" s="1"/>
  <c r="BA561" i="3"/>
  <c r="BA555" i="3"/>
  <c r="BA553" i="3"/>
  <c r="BA549" i="3"/>
  <c r="BA547" i="3"/>
  <c r="BA545" i="3"/>
  <c r="BA543" i="3"/>
  <c r="BA541" i="3"/>
  <c r="BA537" i="3"/>
  <c r="BA533" i="3"/>
  <c r="BA529" i="3"/>
  <c r="BA525" i="3"/>
  <c r="BA519" i="3"/>
  <c r="AZ519" i="3" s="1"/>
  <c r="BA515" i="3"/>
  <c r="AZ515" i="3" s="1"/>
  <c r="BA511" i="3"/>
  <c r="AZ511" i="3" s="1"/>
  <c r="BA505" i="3"/>
  <c r="BA501" i="3"/>
  <c r="BA497" i="3"/>
  <c r="BA493" i="3"/>
  <c r="G583" i="3"/>
  <c r="G579" i="3"/>
  <c r="G575" i="3"/>
  <c r="G573" i="3"/>
  <c r="G571" i="3"/>
  <c r="G569" i="3"/>
  <c r="G567" i="3"/>
  <c r="G563" i="3"/>
  <c r="BL558" i="3"/>
  <c r="BA557" i="3"/>
  <c r="AC557" i="3"/>
  <c r="G557" i="3"/>
  <c r="BQ557" i="3"/>
  <c r="BL557" i="3"/>
  <c r="AZ557" i="3" s="1"/>
  <c r="BQ583" i="3"/>
  <c r="BL583" i="3"/>
  <c r="BQ581" i="3"/>
  <c r="BQ579" i="3"/>
  <c r="BQ577" i="3"/>
  <c r="BL577" i="3"/>
  <c r="BQ575" i="3"/>
  <c r="BQ573" i="3"/>
  <c r="BL573" i="3"/>
  <c r="BQ571" i="3"/>
  <c r="BL571" i="3" s="1"/>
  <c r="AZ571" i="3" s="1"/>
  <c r="BQ569" i="3"/>
  <c r="BL569" i="3"/>
  <c r="BQ567" i="3"/>
  <c r="BL567" i="3" s="1"/>
  <c r="AZ567" i="3" s="1"/>
  <c r="BQ565" i="3"/>
  <c r="BL565" i="3"/>
  <c r="BQ563" i="3"/>
  <c r="BQ561" i="3"/>
  <c r="BQ559" i="3"/>
  <c r="BL559" i="3"/>
  <c r="G559" i="3"/>
  <c r="G555" i="3"/>
  <c r="G553" i="3"/>
  <c r="G547" i="3"/>
  <c r="G545" i="3"/>
  <c r="G543" i="3"/>
  <c r="G539" i="3"/>
  <c r="BQ555" i="3"/>
  <c r="BL555" i="3" s="1"/>
  <c r="AZ555" i="3" s="1"/>
  <c r="BQ553" i="3"/>
  <c r="BL553" i="3"/>
  <c r="AZ553" i="3" s="1"/>
  <c r="BQ551" i="3"/>
  <c r="BQ549" i="3"/>
  <c r="BQ547" i="3"/>
  <c r="BL547" i="3"/>
  <c r="AZ547" i="3" s="1"/>
  <c r="BQ545" i="3"/>
  <c r="BL545" i="3" s="1"/>
  <c r="AZ545" i="3" s="1"/>
  <c r="BQ543" i="3"/>
  <c r="BL543" i="3"/>
  <c r="AZ543" i="3" s="1"/>
  <c r="BQ541" i="3"/>
  <c r="BQ539" i="3"/>
  <c r="BL539" i="3"/>
  <c r="BQ537" i="3"/>
  <c r="BQ535" i="3"/>
  <c r="BL535" i="3"/>
  <c r="BQ533" i="3"/>
  <c r="BQ531" i="3"/>
  <c r="BL531" i="3"/>
  <c r="BQ529" i="3"/>
  <c r="BQ527" i="3"/>
  <c r="BL527" i="3"/>
  <c r="BQ525" i="3"/>
  <c r="BQ523" i="3"/>
  <c r="BL523" i="3"/>
  <c r="BA521" i="3"/>
  <c r="AZ521" i="3" s="1"/>
  <c r="AC521" i="3"/>
  <c r="BQ521" i="3"/>
  <c r="BL520" i="3"/>
  <c r="G519" i="3"/>
  <c r="G515" i="3"/>
  <c r="G511" i="3"/>
  <c r="BQ519" i="3"/>
  <c r="BL519" i="3"/>
  <c r="BQ517" i="3"/>
  <c r="BQ515" i="3"/>
  <c r="BL515" i="3"/>
  <c r="BQ513" i="3"/>
  <c r="BQ511" i="3"/>
  <c r="BL511" i="3"/>
  <c r="BA509" i="3"/>
  <c r="AZ509" i="3" s="1"/>
  <c r="AC509" i="3"/>
  <c r="BQ509" i="3"/>
  <c r="BL508" i="3"/>
  <c r="G507" i="3"/>
  <c r="G503" i="3"/>
  <c r="G499" i="3"/>
  <c r="G495" i="3"/>
  <c r="BQ507" i="3"/>
  <c r="BL507" i="3"/>
  <c r="BQ505" i="3"/>
  <c r="BQ503" i="3"/>
  <c r="BL503" i="3"/>
  <c r="BQ501" i="3"/>
  <c r="BQ499" i="3"/>
  <c r="BQ497" i="3"/>
  <c r="BQ495" i="3"/>
  <c r="BQ493" i="3"/>
  <c r="AZ584"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F32" i="40"/>
  <c r="S32" i="40" s="1"/>
  <c r="H32" i="40"/>
  <c r="AB32" i="40" s="1"/>
  <c r="J36" i="40"/>
  <c r="W36" i="40" s="1"/>
  <c r="H19" i="37"/>
  <c r="AB19" i="37" s="1"/>
  <c r="F123" i="33"/>
  <c r="G123" i="33" s="1"/>
  <c r="H123" i="33" s="1"/>
  <c r="I123" i="33" s="1"/>
  <c r="J123" i="33" s="1"/>
  <c r="K123" i="33" s="1"/>
  <c r="L123" i="33" s="1"/>
  <c r="M123" i="33" s="1"/>
  <c r="H42" i="33"/>
  <c r="AB42" i="33" s="1"/>
  <c r="J43" i="33"/>
  <c r="AC43" i="33"/>
  <c r="S28" i="31"/>
  <c r="S27" i="31"/>
  <c r="S26" i="31"/>
  <c r="AC32" i="36"/>
  <c r="W23" i="35"/>
  <c r="AB28" i="37"/>
  <c r="U33" i="37"/>
  <c r="U39" i="37"/>
  <c r="W26" i="37"/>
  <c r="AC8" i="37"/>
  <c r="U26" i="37"/>
  <c r="W37" i="34"/>
  <c r="AC36" i="34"/>
  <c r="AA13" i="33"/>
  <c r="AC31" i="33"/>
  <c r="AC45" i="33"/>
  <c r="W44" i="33"/>
  <c r="U11" i="33"/>
  <c r="U19" i="21"/>
  <c r="U26" i="21"/>
  <c r="U12" i="21"/>
  <c r="AB38" i="21"/>
  <c r="F43" i="33"/>
  <c r="AA43" i="33" s="1"/>
  <c r="W15" i="34"/>
  <c r="W16" i="35"/>
  <c r="W40" i="37"/>
  <c r="G107" i="37"/>
  <c r="H107" i="37" s="1"/>
  <c r="I107" i="37" s="1"/>
  <c r="J107" i="37" s="1"/>
  <c r="K107" i="37" s="1"/>
  <c r="L107" i="37" s="1"/>
  <c r="M107" i="37" s="1"/>
  <c r="H37" i="21"/>
  <c r="U37" i="21"/>
  <c r="S42" i="21"/>
  <c r="H19" i="34"/>
  <c r="AB19" i="34" s="1"/>
  <c r="F36" i="35"/>
  <c r="S36" i="35" s="1"/>
  <c r="J9" i="37"/>
  <c r="W9" i="37" s="1"/>
  <c r="H9" i="37"/>
  <c r="AB9" i="37" s="1"/>
  <c r="F9" i="37"/>
  <c r="S9" i="37" s="1"/>
  <c r="J12" i="37"/>
  <c r="W12" i="37" s="1"/>
  <c r="H12" i="37"/>
  <c r="AB12" i="37" s="1"/>
  <c r="F12" i="37"/>
  <c r="S12" i="37" s="1"/>
  <c r="E71" i="37"/>
  <c r="F15" i="37"/>
  <c r="AA15" i="37"/>
  <c r="E94" i="37"/>
  <c r="F31" i="37"/>
  <c r="S31" i="37" s="1"/>
  <c r="F12" i="39"/>
  <c r="S12" i="39" s="1"/>
  <c r="J42" i="39"/>
  <c r="AC42" i="39" s="1"/>
  <c r="H21" i="40"/>
  <c r="AB21" i="40" s="1"/>
  <c r="F94" i="37"/>
  <c r="G94" i="37" s="1"/>
  <c r="H94" i="37" s="1"/>
  <c r="I94" i="37" s="1"/>
  <c r="J94" i="37" s="1"/>
  <c r="K94" i="37" s="1"/>
  <c r="L94" i="37" s="1"/>
  <c r="M94" i="37" s="1"/>
  <c r="H31" i="37"/>
  <c r="U31" i="37" s="1"/>
  <c r="F71" i="37"/>
  <c r="G71" i="37" s="1"/>
  <c r="J15" i="37"/>
  <c r="W15" i="37" s="1"/>
  <c r="U12" i="37"/>
  <c r="AT6" i="3"/>
  <c r="AA25" i="21"/>
  <c r="C12" i="43"/>
  <c r="H19" i="40"/>
  <c r="U19" i="40" s="1"/>
  <c r="F19" i="40"/>
  <c r="S19" i="40" s="1"/>
  <c r="AC13" i="40"/>
  <c r="W23" i="39"/>
  <c r="W43" i="39"/>
  <c r="AB45" i="39"/>
  <c r="U44" i="39"/>
  <c r="G101" i="39"/>
  <c r="H37" i="39"/>
  <c r="AB37" i="39" s="1"/>
  <c r="AC37" i="39"/>
  <c r="H25" i="39"/>
  <c r="AB25" i="39" s="1"/>
  <c r="J25" i="39"/>
  <c r="W25" i="39" s="1"/>
  <c r="F25" i="39"/>
  <c r="AA25" i="39"/>
  <c r="F15" i="39"/>
  <c r="AA15" i="39"/>
  <c r="H15" i="39"/>
  <c r="U15" i="39"/>
  <c r="J15" i="39"/>
  <c r="W15" i="39"/>
  <c r="H41" i="39"/>
  <c r="W27" i="39"/>
  <c r="U40" i="39"/>
  <c r="W14" i="39"/>
  <c r="W9" i="39"/>
  <c r="W8" i="39"/>
  <c r="J19" i="40"/>
  <c r="AC19" i="40" s="1"/>
  <c r="H103" i="9"/>
  <c r="D8" i="53"/>
  <c r="D9" i="53" s="1"/>
  <c r="B25" i="72" s="1"/>
  <c r="C7" i="37"/>
  <c r="C52" i="37" s="1"/>
  <c r="D52" i="37" s="1"/>
  <c r="E52" i="37" s="1"/>
  <c r="F52" i="37" s="1"/>
  <c r="G52" i="37" s="1"/>
  <c r="C7" i="36"/>
  <c r="A118" i="9"/>
  <c r="A4" i="52"/>
  <c r="B41" i="72" s="1"/>
  <c r="J11" i="39"/>
  <c r="W11" i="39"/>
  <c r="F11" i="39"/>
  <c r="AA11" i="39"/>
  <c r="S11" i="39"/>
  <c r="G4" i="4"/>
  <c r="I4" i="4"/>
  <c r="K5" i="4"/>
  <c r="B47" i="48" s="1"/>
  <c r="A2" i="9"/>
  <c r="N2" i="43"/>
  <c r="F59" i="43"/>
  <c r="AZ20" i="3"/>
  <c r="AZ24" i="3"/>
  <c r="AZ28" i="3"/>
  <c r="AZ32" i="3"/>
  <c r="AZ546" i="3"/>
  <c r="G546"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22" i="3"/>
  <c r="G512" i="3"/>
  <c r="G498" i="3"/>
  <c r="G16" i="3"/>
  <c r="G15" i="3"/>
  <c r="BA304" i="3"/>
  <c r="AZ304" i="3" s="1"/>
  <c r="BA305" i="3"/>
  <c r="AZ305" i="3" s="1"/>
  <c r="BL305" i="3"/>
  <c r="G306" i="3"/>
  <c r="G309" i="3"/>
  <c r="BL310" i="3"/>
  <c r="BA312" i="3"/>
  <c r="AZ312" i="3" s="1"/>
  <c r="BA313" i="3"/>
  <c r="AZ313" i="3" s="1"/>
  <c r="BL313" i="3"/>
  <c r="G314" i="3"/>
  <c r="G317" i="3"/>
  <c r="BL318" i="3"/>
  <c r="BA320" i="3"/>
  <c r="AZ320" i="3" s="1"/>
  <c r="BA321" i="3"/>
  <c r="AZ321" i="3" s="1"/>
  <c r="BL321" i="3"/>
  <c r="G322" i="3"/>
  <c r="G325" i="3"/>
  <c r="BL326" i="3"/>
  <c r="BA328" i="3"/>
  <c r="AZ328" i="3" s="1"/>
  <c r="BA329" i="3"/>
  <c r="AZ329" i="3" s="1"/>
  <c r="BL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AZ309" i="3"/>
  <c r="AZ317" i="3"/>
  <c r="AZ325" i="3"/>
  <c r="AZ333" i="3"/>
  <c r="AZ341" i="3"/>
  <c r="AZ496" i="3"/>
  <c r="G548" i="3"/>
  <c r="G538" i="3"/>
  <c r="G502" i="3"/>
  <c r="AZ343" i="3"/>
  <c r="BI5" i="3"/>
  <c r="BE5" i="3"/>
  <c r="G17" i="3"/>
  <c r="BA17" i="3"/>
  <c r="BT5" i="3"/>
  <c r="AZ350" i="3"/>
  <c r="AZ352" i="3"/>
  <c r="AZ360" i="3"/>
  <c r="AZ368" i="3"/>
  <c r="BA15" i="3"/>
  <c r="AZ15" i="3"/>
  <c r="AZ380" i="3"/>
  <c r="AZ388" i="3"/>
  <c r="AZ396" i="3"/>
  <c r="G509" i="3"/>
  <c r="AZ491" i="3"/>
  <c r="AZ390" i="3"/>
  <c r="N4" i="43"/>
  <c r="F36" i="43"/>
  <c r="F81" i="43"/>
  <c r="H83" i="43" s="1"/>
  <c r="F48" i="43"/>
  <c r="H52" i="43" s="1"/>
  <c r="N7" i="43"/>
  <c r="F70" i="43"/>
  <c r="H73" i="43" s="1"/>
  <c r="M6" i="43"/>
  <c r="M11" i="43"/>
  <c r="F39" i="43"/>
  <c r="F35" i="43"/>
  <c r="F6" i="1"/>
  <c r="G6" i="1" s="1"/>
  <c r="S14" i="35"/>
  <c r="U43" i="21"/>
  <c r="U35" i="21"/>
  <c r="AC35" i="21"/>
  <c r="U10" i="21"/>
  <c r="F48" i="9"/>
  <c r="O52" i="9" s="1"/>
  <c r="AC11" i="39"/>
  <c r="W37" i="37"/>
  <c r="W44" i="34"/>
  <c r="S15" i="37"/>
  <c r="U13" i="37"/>
  <c r="U12" i="40"/>
  <c r="AA12" i="40"/>
  <c r="J37" i="33"/>
  <c r="W37" i="33" s="1"/>
  <c r="AC17" i="34"/>
  <c r="J34" i="33"/>
  <c r="W34" i="33"/>
  <c r="F33" i="34"/>
  <c r="S33" i="34"/>
  <c r="H20" i="36"/>
  <c r="U20" i="36"/>
  <c r="J20" i="36"/>
  <c r="W20" i="36"/>
  <c r="J27" i="36"/>
  <c r="W27" i="36" s="1"/>
  <c r="AB25" i="37"/>
  <c r="H35" i="40"/>
  <c r="AB35" i="40" s="1"/>
  <c r="W29" i="35"/>
  <c r="H35" i="37"/>
  <c r="U35" i="37"/>
  <c r="H20" i="35"/>
  <c r="U20" i="35" s="1"/>
  <c r="F20" i="35"/>
  <c r="AA20" i="35" s="1"/>
  <c r="AB23" i="35"/>
  <c r="U29" i="36"/>
  <c r="H32" i="37"/>
  <c r="AB32" i="37"/>
  <c r="H27" i="40"/>
  <c r="U27" i="40" s="1"/>
  <c r="J27" i="40"/>
  <c r="AC27" i="40" s="1"/>
  <c r="F27" i="40"/>
  <c r="S27" i="40" s="1"/>
  <c r="J30" i="40"/>
  <c r="AC30" i="40" s="1"/>
  <c r="F30" i="40"/>
  <c r="AA30" i="40" s="1"/>
  <c r="S31" i="39"/>
  <c r="E98" i="40"/>
  <c r="F98" i="40" s="1"/>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49" i="43"/>
  <c r="I20" i="43"/>
  <c r="F23" i="39"/>
  <c r="AA23" i="39" s="1"/>
  <c r="H27" i="36"/>
  <c r="U27" i="36" s="1"/>
  <c r="F27" i="36"/>
  <c r="AA27" i="36" s="1"/>
  <c r="H33" i="34"/>
  <c r="U33" i="34" s="1"/>
  <c r="F32" i="37"/>
  <c r="AA32" i="37" s="1"/>
  <c r="F20" i="36"/>
  <c r="AA20" i="36"/>
  <c r="J33" i="34"/>
  <c r="AC33" i="34"/>
  <c r="H23" i="39"/>
  <c r="U23" i="39"/>
  <c r="D48" i="9"/>
  <c r="M52" i="9" s="1"/>
  <c r="H86" i="43"/>
  <c r="H87" i="43"/>
  <c r="AE9" i="1"/>
  <c r="AC26" i="33"/>
  <c r="W27" i="34"/>
  <c r="AB34" i="36"/>
  <c r="AB33" i="36"/>
  <c r="AC12" i="39"/>
  <c r="AZ401" i="3"/>
  <c r="AZ412" i="3"/>
  <c r="AZ417" i="3"/>
  <c r="AZ428" i="3"/>
  <c r="AZ433" i="3"/>
  <c r="AZ465" i="3"/>
  <c r="AC12" i="33"/>
  <c r="S32" i="36"/>
  <c r="AZ408" i="3"/>
  <c r="AZ437" i="3"/>
  <c r="AZ441" i="3"/>
  <c r="AZ457" i="3"/>
  <c r="AZ473" i="3"/>
  <c r="AZ490" i="3"/>
  <c r="AA39" i="34"/>
  <c r="BL14" i="3"/>
  <c r="AZ266" i="3"/>
  <c r="W28" i="37"/>
  <c r="S19" i="39"/>
  <c r="H12" i="39"/>
  <c r="AB12" i="39" s="1"/>
  <c r="F39" i="40"/>
  <c r="S39" i="40" s="1"/>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B12" i="1"/>
  <c r="E12" i="1" s="1"/>
  <c r="S10" i="1"/>
  <c r="B10" i="1"/>
  <c r="E10" i="1" s="1"/>
  <c r="D1" i="66"/>
  <c r="E10" i="66" s="1"/>
  <c r="AZ80" i="3"/>
  <c r="AZ84" i="3"/>
  <c r="AZ88" i="3"/>
  <c r="AZ107" i="3"/>
  <c r="AZ111" i="3"/>
  <c r="R13" i="1"/>
  <c r="R11" i="1"/>
  <c r="R9" i="1"/>
  <c r="J51" i="67"/>
  <c r="C42" i="1"/>
  <c r="H100" i="43"/>
  <c r="C30" i="66"/>
  <c r="E26" i="66"/>
  <c r="AC34" i="33"/>
  <c r="AA34" i="33"/>
  <c r="B41" i="1"/>
  <c r="S22" i="31"/>
  <c r="J100" i="43"/>
  <c r="AB37" i="40"/>
  <c r="S35" i="40"/>
  <c r="AC36" i="40"/>
  <c r="AA32" i="40"/>
  <c r="S23" i="40"/>
  <c r="AB27" i="40"/>
  <c r="AA27" i="40"/>
  <c r="U37" i="39"/>
  <c r="S43" i="39"/>
  <c r="S37" i="39"/>
  <c r="U35" i="39"/>
  <c r="F32" i="39"/>
  <c r="F107" i="39"/>
  <c r="G107" i="39" s="1"/>
  <c r="H107" i="39" s="1"/>
  <c r="I107" i="39" s="1"/>
  <c r="J107" i="39" s="1"/>
  <c r="K107" i="39" s="1"/>
  <c r="L107" i="39" s="1"/>
  <c r="M107" i="39" s="1"/>
  <c r="U25" i="39"/>
  <c r="U31" i="39"/>
  <c r="S25" i="39"/>
  <c r="J21" i="39"/>
  <c r="W21" i="39" s="1"/>
  <c r="F21" i="39"/>
  <c r="G95" i="39"/>
  <c r="H21" i="39"/>
  <c r="W19" i="39"/>
  <c r="S17" i="39"/>
  <c r="AC15" i="39"/>
  <c r="S15" i="39"/>
  <c r="AB15" i="39"/>
  <c r="AA12" i="39"/>
  <c r="S9" i="39"/>
  <c r="AC13" i="39"/>
  <c r="U12" i="39"/>
  <c r="S23" i="36"/>
  <c r="U13" i="36"/>
  <c r="AB27" i="36"/>
  <c r="U26" i="36"/>
  <c r="S33" i="36"/>
  <c r="AA26" i="36"/>
  <c r="S29" i="36"/>
  <c r="AC26" i="36"/>
  <c r="AA22" i="36"/>
  <c r="AB14" i="36"/>
  <c r="U22" i="36"/>
  <c r="S16" i="36"/>
  <c r="AA25" i="36"/>
  <c r="S24" i="36"/>
  <c r="U23" i="36"/>
  <c r="AB20" i="36"/>
  <c r="U16" i="36"/>
  <c r="U10" i="36"/>
  <c r="W10" i="36"/>
  <c r="W24" i="35"/>
  <c r="U29" i="35"/>
  <c r="AB27" i="35"/>
  <c r="U36" i="35"/>
  <c r="U32" i="35"/>
  <c r="AA33" i="35"/>
  <c r="AC30" i="35"/>
  <c r="S32" i="35"/>
  <c r="AA36" i="35"/>
  <c r="S28" i="35"/>
  <c r="U22" i="35"/>
  <c r="AC20" i="35"/>
  <c r="U14" i="35"/>
  <c r="AC10" i="35"/>
  <c r="AA10" i="35"/>
  <c r="AA11" i="35"/>
  <c r="AC9" i="35"/>
  <c r="AC12" i="35"/>
  <c r="F9" i="35"/>
  <c r="AA9" i="35" s="1"/>
  <c r="H9" i="35"/>
  <c r="F26" i="35"/>
  <c r="AA26" i="35" s="1"/>
  <c r="J26" i="35"/>
  <c r="AC26" i="35" s="1"/>
  <c r="AB40" i="37"/>
  <c r="S25" i="37"/>
  <c r="W27" i="37"/>
  <c r="S26" i="37"/>
  <c r="AC9" i="37"/>
  <c r="AC29" i="37"/>
  <c r="U29" i="37"/>
  <c r="AB31" i="37"/>
  <c r="W30" i="37"/>
  <c r="S36" i="37"/>
  <c r="AA38" i="37"/>
  <c r="U32" i="37"/>
  <c r="W38" i="37"/>
  <c r="AC35" i="37"/>
  <c r="S30" i="37"/>
  <c r="AC15" i="37"/>
  <c r="J17" i="37"/>
  <c r="W17" i="37"/>
  <c r="F17" i="37"/>
  <c r="AA17" i="37" s="1"/>
  <c r="AB17" i="37"/>
  <c r="F75" i="37"/>
  <c r="F19" i="37"/>
  <c r="S19" i="37" s="1"/>
  <c r="F23" i="37"/>
  <c r="S23" i="37" s="1"/>
  <c r="U23" i="37"/>
  <c r="U15" i="37"/>
  <c r="AC13" i="37"/>
  <c r="AA13" i="37"/>
  <c r="AA9" i="37"/>
  <c r="H10" i="37"/>
  <c r="H60" i="37"/>
  <c r="I60" i="37" s="1"/>
  <c r="F63" i="37"/>
  <c r="F11" i="37"/>
  <c r="S11" i="37" s="1"/>
  <c r="S27" i="34"/>
  <c r="AB8" i="34"/>
  <c r="AA33" i="34"/>
  <c r="U44" i="34"/>
  <c r="U43" i="34"/>
  <c r="AC39" i="34"/>
  <c r="AC42" i="34"/>
  <c r="U39" i="34"/>
  <c r="S43" i="34"/>
  <c r="AB41" i="34"/>
  <c r="W34" i="34"/>
  <c r="AA25" i="34"/>
  <c r="U28" i="34"/>
  <c r="S17" i="34"/>
  <c r="S23" i="34"/>
  <c r="U15" i="34"/>
  <c r="S10" i="34"/>
  <c r="H67" i="34"/>
  <c r="I67" i="34" s="1"/>
  <c r="H10" i="34"/>
  <c r="F11" i="34"/>
  <c r="S11" i="34" s="1"/>
  <c r="F70" i="34"/>
  <c r="AA35" i="33"/>
  <c r="S32" i="33"/>
  <c r="AA29" i="33"/>
  <c r="AB29" i="33"/>
  <c r="W38" i="33"/>
  <c r="H41" i="33"/>
  <c r="U41" i="33" s="1"/>
  <c r="S42" i="33"/>
  <c r="F36" i="33"/>
  <c r="J35" i="33"/>
  <c r="AC35" i="33" s="1"/>
  <c r="S37" i="33"/>
  <c r="AA37" i="33"/>
  <c r="S39" i="33"/>
  <c r="J32" i="33"/>
  <c r="W32" i="33" s="1"/>
  <c r="W43" i="33"/>
  <c r="F91" i="33"/>
  <c r="H27" i="33"/>
  <c r="H25" i="33"/>
  <c r="F25" i="33"/>
  <c r="AA25" i="33" s="1"/>
  <c r="J23" i="33"/>
  <c r="H23" i="33"/>
  <c r="F19" i="33"/>
  <c r="S19" i="33"/>
  <c r="W19" i="33"/>
  <c r="J17" i="33"/>
  <c r="AC17" i="33" s="1"/>
  <c r="S15" i="33"/>
  <c r="W15" i="33"/>
  <c r="U9" i="33"/>
  <c r="J10" i="33"/>
  <c r="W10" i="33" s="1"/>
  <c r="H10" i="33"/>
  <c r="AA10"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F34" i="67"/>
  <c r="F62" i="67" s="1"/>
  <c r="M20" i="67"/>
  <c r="F34" i="15"/>
  <c r="F62" i="15" s="1"/>
  <c r="BL17" i="3"/>
  <c r="AZ17" i="3"/>
  <c r="J56" i="9"/>
  <c r="J57" i="9" s="1"/>
  <c r="J59" i="9" s="1"/>
  <c r="J61" i="9" s="1"/>
  <c r="A24" i="51"/>
  <c r="B18" i="72" s="1"/>
  <c r="E5" i="6"/>
  <c r="D9" i="11" s="1"/>
  <c r="E32" i="6"/>
  <c r="L19" i="6"/>
  <c r="E19" i="69"/>
  <c r="E19" i="11"/>
  <c r="E1" i="73"/>
  <c r="G41" i="69"/>
  <c r="G22" i="69"/>
  <c r="G41" i="68"/>
  <c r="G22" i="68"/>
  <c r="G27" i="12"/>
  <c r="G26" i="12"/>
  <c r="G41" i="11"/>
  <c r="G22" i="11"/>
  <c r="G25" i="12"/>
  <c r="C100" i="43"/>
  <c r="E10" i="43"/>
  <c r="E8" i="43"/>
  <c r="E81" i="43"/>
  <c r="B79" i="43" s="1"/>
  <c r="E48" i="43"/>
  <c r="B46" i="43" s="1"/>
  <c r="E70" i="43"/>
  <c r="B68" i="43" s="1"/>
  <c r="F100" i="43"/>
  <c r="B24" i="72"/>
  <c r="H81" i="43"/>
  <c r="H88" i="43"/>
  <c r="H78" i="43"/>
  <c r="H71" i="43"/>
  <c r="F33" i="43"/>
  <c r="F34" i="43"/>
  <c r="M7" i="43"/>
  <c r="N6" i="43"/>
  <c r="M2" i="43"/>
  <c r="C6" i="43"/>
  <c r="M10" i="43"/>
  <c r="N3" i="43"/>
  <c r="N11" i="43"/>
  <c r="F38" i="43"/>
  <c r="M9" i="43"/>
  <c r="N12" i="43"/>
  <c r="N5" i="43"/>
  <c r="M5" i="43"/>
  <c r="M12" i="43"/>
  <c r="M4" i="43"/>
  <c r="B19" i="53"/>
  <c r="B37" i="72" s="1"/>
  <c r="C7" i="39"/>
  <c r="C68" i="39" s="1"/>
  <c r="D68" i="39" s="1"/>
  <c r="E68" i="39" s="1"/>
  <c r="F68" i="39" s="1"/>
  <c r="C7" i="33"/>
  <c r="C58" i="33" s="1"/>
  <c r="D58" i="33" s="1"/>
  <c r="C7" i="21"/>
  <c r="C58" i="21" s="1"/>
  <c r="D58" i="21" s="1"/>
  <c r="E58" i="21" s="1"/>
  <c r="F58" i="21" s="1"/>
  <c r="M47" i="9"/>
  <c r="C46" i="36"/>
  <c r="A4" i="51"/>
  <c r="B6" i="72" s="1"/>
  <c r="C4" i="12"/>
  <c r="H62" i="43"/>
  <c r="H66" i="43"/>
  <c r="H61" i="43"/>
  <c r="H65" i="43"/>
  <c r="H60" i="43"/>
  <c r="H64" i="43"/>
  <c r="H59" i="43"/>
  <c r="H63" i="43"/>
  <c r="H67" i="43"/>
  <c r="H55" i="43"/>
  <c r="H56" i="43"/>
  <c r="H72" i="43"/>
  <c r="L20" i="6"/>
  <c r="B6" i="1"/>
  <c r="E6" i="1"/>
  <c r="AP6" i="1"/>
  <c r="G1" i="15"/>
  <c r="G1" i="67"/>
  <c r="U32" i="40"/>
  <c r="S37" i="40"/>
  <c r="W27" i="40"/>
  <c r="S36" i="40"/>
  <c r="W37" i="40"/>
  <c r="AC14" i="40"/>
  <c r="S33" i="40"/>
  <c r="U8" i="40"/>
  <c r="S8" i="40"/>
  <c r="AC41" i="39"/>
  <c r="AB23" i="39"/>
  <c r="U41" i="39"/>
  <c r="AB41" i="39"/>
  <c r="AC25" i="39"/>
  <c r="U13" i="39"/>
  <c r="AB13" i="39"/>
  <c r="S13" i="39"/>
  <c r="AA14" i="39"/>
  <c r="U43" i="39"/>
  <c r="AB43" i="39"/>
  <c r="U11" i="39"/>
  <c r="AA27" i="39"/>
  <c r="S27" i="39"/>
  <c r="AC17" i="39"/>
  <c r="AC31" i="39"/>
  <c r="AA45" i="39"/>
  <c r="W34" i="39"/>
  <c r="U38" i="39"/>
  <c r="S8" i="39"/>
  <c r="S20" i="36"/>
  <c r="AC25" i="36"/>
  <c r="U32" i="36"/>
  <c r="W29" i="36"/>
  <c r="AC20" i="36"/>
  <c r="U25" i="36"/>
  <c r="AB28" i="36"/>
  <c r="W9" i="36"/>
  <c r="W22" i="36"/>
  <c r="W23" i="36"/>
  <c r="S9" i="36"/>
  <c r="AB20" i="35"/>
  <c r="W33" i="35"/>
  <c r="AA30" i="35"/>
  <c r="U24" i="35"/>
  <c r="AA35" i="37"/>
  <c r="S27" i="37"/>
  <c r="S28" i="37"/>
  <c r="W32" i="37"/>
  <c r="S40" i="37"/>
  <c r="U38" i="37"/>
  <c r="AB37" i="37"/>
  <c r="S33" i="37"/>
  <c r="AC34" i="37"/>
  <c r="AB35" i="37"/>
  <c r="AA11" i="37"/>
  <c r="U19" i="37"/>
  <c r="AA29" i="37"/>
  <c r="AA8" i="37"/>
  <c r="U8" i="37"/>
  <c r="AA40" i="34"/>
  <c r="AB40" i="34"/>
  <c r="U19" i="34"/>
  <c r="W19" i="34"/>
  <c r="AB33" i="34"/>
  <c r="AA30" i="34"/>
  <c r="U25" i="34"/>
  <c r="W33" i="34"/>
  <c r="AC14" i="34"/>
  <c r="AC32" i="34"/>
  <c r="W29" i="34"/>
  <c r="AC46" i="34"/>
  <c r="AA32" i="34"/>
  <c r="AB30" i="34"/>
  <c r="U38" i="34"/>
  <c r="AC40" i="34"/>
  <c r="W40" i="34"/>
  <c r="S19" i="34"/>
  <c r="AA36" i="34"/>
  <c r="S36" i="34"/>
  <c r="S8" i="34"/>
  <c r="S46" i="34"/>
  <c r="AA46" i="34"/>
  <c r="U32" i="34"/>
  <c r="AB32" i="34"/>
  <c r="U14" i="34"/>
  <c r="AB14" i="34"/>
  <c r="AC43" i="34"/>
  <c r="W43" i="34"/>
  <c r="W23" i="34"/>
  <c r="AC23" i="34"/>
  <c r="AC35" i="34"/>
  <c r="U12" i="34"/>
  <c r="W46" i="33"/>
  <c r="U38" i="33"/>
  <c r="S33" i="33"/>
  <c r="AB34" i="33"/>
  <c r="W14" i="33"/>
  <c r="W30" i="33"/>
  <c r="AA31" i="33"/>
  <c r="AC13" i="33"/>
  <c r="U15" i="33"/>
  <c r="S11" i="33"/>
  <c r="U37" i="33"/>
  <c r="W9" i="33"/>
  <c r="W8" i="33"/>
  <c r="S44" i="21"/>
  <c r="U28" i="21"/>
  <c r="S45" i="21"/>
  <c r="F33" i="21"/>
  <c r="AA33" i="21" s="1"/>
  <c r="J33" i="21"/>
  <c r="H33" i="21"/>
  <c r="AB33" i="21" s="1"/>
  <c r="F37" i="21"/>
  <c r="AA37" i="21" s="1"/>
  <c r="AA26" i="21"/>
  <c r="AB46" i="21"/>
  <c r="U40" i="21"/>
  <c r="AC15" i="21"/>
  <c r="AB13" i="21"/>
  <c r="W8" i="21"/>
  <c r="S35" i="21"/>
  <c r="AB37" i="21"/>
  <c r="J37" i="21"/>
  <c r="W37" i="21" s="1"/>
  <c r="H15" i="21"/>
  <c r="U15" i="21" s="1"/>
  <c r="J17" i="21"/>
  <c r="AC17" i="21" s="1"/>
  <c r="AC19" i="21"/>
  <c r="W39" i="21"/>
  <c r="AC14" i="21"/>
  <c r="S46" i="21"/>
  <c r="F29" i="21"/>
  <c r="S29" i="21"/>
  <c r="F13" i="21"/>
  <c r="AA13" i="21"/>
  <c r="AC38" i="21"/>
  <c r="H32" i="21"/>
  <c r="U32" i="21" s="1"/>
  <c r="J9" i="21"/>
  <c r="AC9" i="21" s="1"/>
  <c r="J32" i="21"/>
  <c r="F32" i="21"/>
  <c r="S32" i="21" s="1"/>
  <c r="U17" i="21"/>
  <c r="S19" i="21"/>
  <c r="K141" i="21"/>
  <c r="K144" i="21"/>
  <c r="K143" i="21"/>
  <c r="U27" i="21"/>
  <c r="AB44" i="21"/>
  <c r="W13" i="21"/>
  <c r="F10" i="21"/>
  <c r="K145" i="21"/>
  <c r="W25" i="21"/>
  <c r="AA29" i="21"/>
  <c r="W31" i="21"/>
  <c r="S17" i="21"/>
  <c r="AA15" i="21"/>
  <c r="AC27" i="21"/>
  <c r="AB29" i="21"/>
  <c r="AC34" i="21"/>
  <c r="W10" i="21"/>
  <c r="W12" i="21"/>
  <c r="AB36" i="21"/>
  <c r="W30" i="40"/>
  <c r="C15" i="40"/>
  <c r="C23" i="40"/>
  <c r="U30" i="40"/>
  <c r="B65" i="43"/>
  <c r="B52" i="43"/>
  <c r="B60" i="43"/>
  <c r="B67" i="43"/>
  <c r="D23" i="15"/>
  <c r="D22" i="15"/>
  <c r="F52" i="9"/>
  <c r="AA39" i="40"/>
  <c r="J32" i="39"/>
  <c r="W32" i="39" s="1"/>
  <c r="H32" i="39"/>
  <c r="AA32" i="39"/>
  <c r="S32" i="39"/>
  <c r="AB21" i="39"/>
  <c r="U21" i="39"/>
  <c r="AA21" i="39"/>
  <c r="S21" i="39"/>
  <c r="AC21" i="39"/>
  <c r="S26" i="35"/>
  <c r="U9" i="35"/>
  <c r="AB9" i="35"/>
  <c r="S9" i="35"/>
  <c r="W26" i="35"/>
  <c r="AC17" i="37"/>
  <c r="S17" i="37"/>
  <c r="J19" i="37"/>
  <c r="G75" i="37"/>
  <c r="AA19" i="37"/>
  <c r="J23" i="37"/>
  <c r="AC23" i="37" s="1"/>
  <c r="J10" i="37"/>
  <c r="W10" i="37" s="1"/>
  <c r="G63" i="37"/>
  <c r="H11" i="37"/>
  <c r="AB10" i="37"/>
  <c r="U10" i="37"/>
  <c r="G70" i="34"/>
  <c r="H70" i="34" s="1"/>
  <c r="H11" i="34"/>
  <c r="AB10" i="34"/>
  <c r="U10" i="34"/>
  <c r="J10" i="34"/>
  <c r="AC10" i="34" s="1"/>
  <c r="AB41" i="33"/>
  <c r="W35" i="33"/>
  <c r="J36" i="33"/>
  <c r="W36" i="33" s="1"/>
  <c r="H36" i="33"/>
  <c r="S36" i="33"/>
  <c r="AA36" i="33"/>
  <c r="AC32" i="33"/>
  <c r="U27" i="33"/>
  <c r="AB27" i="33"/>
  <c r="G91" i="33"/>
  <c r="H91" i="33" s="1"/>
  <c r="I91" i="33" s="1"/>
  <c r="J91" i="33" s="1"/>
  <c r="K91" i="33" s="1"/>
  <c r="L91" i="33" s="1"/>
  <c r="M91" i="33" s="1"/>
  <c r="J27" i="33"/>
  <c r="U25" i="33"/>
  <c r="AB25" i="33"/>
  <c r="S25" i="33"/>
  <c r="I87" i="33"/>
  <c r="J87" i="33" s="1"/>
  <c r="K87" i="33" s="1"/>
  <c r="L87" i="33" s="1"/>
  <c r="M87" i="33" s="1"/>
  <c r="J25" i="33"/>
  <c r="AB23" i="33"/>
  <c r="U23" i="33"/>
  <c r="F23" i="33"/>
  <c r="S23" i="33" s="1"/>
  <c r="AC23" i="33"/>
  <c r="W23" i="33"/>
  <c r="AA19" i="33"/>
  <c r="H19" i="33"/>
  <c r="G81" i="33"/>
  <c r="H17" i="33"/>
  <c r="AB17" i="33" s="1"/>
  <c r="F17" i="33"/>
  <c r="W17" i="33"/>
  <c r="U10" i="33"/>
  <c r="AB10" i="33"/>
  <c r="AC10" i="33"/>
  <c r="AC37" i="21"/>
  <c r="S37" i="21"/>
  <c r="AB15" i="21"/>
  <c r="J23" i="21"/>
  <c r="F85" i="21"/>
  <c r="G85" i="21" s="1"/>
  <c r="H23" i="21"/>
  <c r="AB23" i="21" s="1"/>
  <c r="S13" i="21"/>
  <c r="D6" i="52"/>
  <c r="D121" i="9"/>
  <c r="D7" i="52"/>
  <c r="K120" i="9"/>
  <c r="A18" i="62" s="1"/>
  <c r="B64" i="72" s="1"/>
  <c r="R22" i="31"/>
  <c r="B21" i="31" s="1"/>
  <c r="AP7" i="1"/>
  <c r="AC33" i="21"/>
  <c r="W33" i="21"/>
  <c r="S33" i="21"/>
  <c r="W32" i="21"/>
  <c r="AC32" i="21"/>
  <c r="AA32" i="21"/>
  <c r="W9" i="21"/>
  <c r="AB32" i="21"/>
  <c r="AA10" i="21"/>
  <c r="S10" i="21"/>
  <c r="U32" i="39"/>
  <c r="AB32" i="39"/>
  <c r="AC32" i="39"/>
  <c r="W19" i="37"/>
  <c r="AC19" i="37"/>
  <c r="W23" i="37"/>
  <c r="AB11" i="37"/>
  <c r="U11" i="37"/>
  <c r="H63" i="37"/>
  <c r="I63" i="37" s="1"/>
  <c r="J63" i="37" s="1"/>
  <c r="K63" i="37" s="1"/>
  <c r="L63" i="37" s="1"/>
  <c r="M63" i="37" s="1"/>
  <c r="J11" i="37"/>
  <c r="W11" i="37" s="1"/>
  <c r="AC10" i="37"/>
  <c r="U11" i="34"/>
  <c r="AB11" i="34"/>
  <c r="W10" i="34"/>
  <c r="I70" i="34"/>
  <c r="J70" i="34" s="1"/>
  <c r="K70" i="34" s="1"/>
  <c r="L70" i="34" s="1"/>
  <c r="M70" i="34" s="1"/>
  <c r="J11" i="34"/>
  <c r="AC36" i="33"/>
  <c r="U36" i="33"/>
  <c r="AB36" i="33"/>
  <c r="W27" i="33"/>
  <c r="AC27" i="33"/>
  <c r="W25" i="33"/>
  <c r="AC25" i="33"/>
  <c r="AB19" i="33"/>
  <c r="U19" i="33"/>
  <c r="AA17" i="33"/>
  <c r="S17" i="33"/>
  <c r="U17" i="33"/>
  <c r="U23" i="21"/>
  <c r="AC23" i="21"/>
  <c r="W23" i="21"/>
  <c r="F1" i="67"/>
  <c r="Q52" i="67"/>
  <c r="AC11" i="37"/>
  <c r="W11" i="34"/>
  <c r="AC11" i="34"/>
  <c r="F34" i="11"/>
  <c r="C36" i="11" s="1"/>
  <c r="F11" i="12"/>
  <c r="F34" i="68"/>
  <c r="AG6" i="1"/>
  <c r="H112" i="9"/>
  <c r="D21" i="53" s="1"/>
  <c r="B39" i="72" s="1"/>
  <c r="H111" i="9"/>
  <c r="D126" i="9" s="1"/>
  <c r="D59" i="9"/>
  <c r="M55" i="9" s="1"/>
  <c r="AD3" i="71"/>
  <c r="F42" i="67"/>
  <c r="F40" i="67"/>
  <c r="AO9" i="1"/>
  <c r="D2" i="36"/>
  <c r="J15" i="67"/>
  <c r="E8" i="76"/>
  <c r="F38" i="67"/>
  <c r="M22" i="67"/>
  <c r="E2" i="69"/>
  <c r="F13" i="67"/>
  <c r="E7" i="76"/>
  <c r="AO11" i="1"/>
  <c r="E2" i="68"/>
  <c r="M28" i="67"/>
  <c r="D2" i="21"/>
  <c r="J15" i="15"/>
  <c r="E9" i="76"/>
  <c r="E13" i="76"/>
  <c r="AO12" i="1"/>
  <c r="F38" i="15"/>
  <c r="M9" i="15"/>
  <c r="E11" i="76"/>
  <c r="AO10" i="1"/>
  <c r="M26" i="15"/>
  <c r="L47" i="67"/>
  <c r="F8" i="15"/>
  <c r="C76" i="15"/>
  <c r="B9" i="76"/>
  <c r="B8" i="76"/>
  <c r="L47" i="15"/>
  <c r="B13" i="76"/>
  <c r="M6" i="15"/>
  <c r="F8" i="67"/>
  <c r="M24" i="67"/>
  <c r="B11" i="76"/>
  <c r="B12" i="76"/>
  <c r="D2" i="34"/>
  <c r="F9" i="67"/>
  <c r="B7" i="76"/>
  <c r="F37" i="67"/>
  <c r="M9" i="67"/>
  <c r="F20" i="31"/>
  <c r="C76" i="67"/>
  <c r="AO13" i="1"/>
  <c r="M8" i="67"/>
  <c r="M23" i="67"/>
  <c r="M27" i="67"/>
  <c r="F9" i="15"/>
  <c r="F40" i="15"/>
  <c r="F16" i="67"/>
  <c r="B10" i="76"/>
  <c r="M6" i="67"/>
  <c r="M8" i="15"/>
  <c r="M26" i="67"/>
  <c r="F36" i="67"/>
  <c r="F26" i="67"/>
  <c r="L48" i="67"/>
  <c r="D2" i="33"/>
  <c r="F6" i="67"/>
  <c r="E10" i="76"/>
  <c r="L48" i="15"/>
  <c r="F6" i="15"/>
  <c r="E12" i="76"/>
  <c r="D2" i="37"/>
  <c r="D2" i="35"/>
  <c r="M27" i="15"/>
  <c r="C18" i="9" l="1"/>
  <c r="D18" i="9" s="1"/>
  <c r="D19" i="12"/>
  <c r="C19" i="12" s="1"/>
  <c r="AZ586" i="3"/>
  <c r="U31" i="21"/>
  <c r="AB31" i="21"/>
  <c r="AC45" i="21"/>
  <c r="W45" i="21"/>
  <c r="AA9" i="21"/>
  <c r="S9" i="21"/>
  <c r="AC9" i="34"/>
  <c r="W9" i="34"/>
  <c r="S28" i="34"/>
  <c r="AA28" i="34"/>
  <c r="AB14" i="39"/>
  <c r="U14" i="39"/>
  <c r="AZ576" i="3"/>
  <c r="AZ575" i="3"/>
  <c r="AZ563" i="3"/>
  <c r="AZ562" i="3"/>
  <c r="AA23" i="33"/>
  <c r="AZ540" i="3"/>
  <c r="AZ585" i="3"/>
  <c r="U28" i="33"/>
  <c r="AB28" i="33"/>
  <c r="AB30" i="33"/>
  <c r="U30" i="33"/>
  <c r="U44" i="33"/>
  <c r="AB44" i="33"/>
  <c r="S29" i="34"/>
  <c r="AA29" i="34"/>
  <c r="AC31" i="34"/>
  <c r="W31" i="34"/>
  <c r="U45" i="34"/>
  <c r="AB45" i="34"/>
  <c r="U47" i="34"/>
  <c r="AB47" i="34"/>
  <c r="AA13" i="35"/>
  <c r="S13" i="35"/>
  <c r="AC25" i="35"/>
  <c r="W25" i="35"/>
  <c r="AC35" i="35"/>
  <c r="W35" i="35"/>
  <c r="U13" i="40"/>
  <c r="AB13" i="40"/>
  <c r="AZ581" i="3"/>
  <c r="AZ579" i="3"/>
  <c r="AZ578" i="3"/>
  <c r="AZ560" i="3"/>
  <c r="AZ551" i="3"/>
  <c r="AZ522" i="3"/>
  <c r="AZ518" i="3"/>
  <c r="AZ517" i="3"/>
  <c r="AZ513" i="3"/>
  <c r="AZ500" i="3"/>
  <c r="AZ499" i="3"/>
  <c r="AZ495" i="3"/>
  <c r="AZ494" i="3"/>
  <c r="G98" i="40"/>
  <c r="H98" i="40" s="1"/>
  <c r="I98" i="40" s="1"/>
  <c r="J98" i="40" s="1"/>
  <c r="K98" i="40" s="1"/>
  <c r="L98" i="40" s="1"/>
  <c r="M98" i="40" s="1"/>
  <c r="J28" i="40"/>
  <c r="AC28" i="40" s="1"/>
  <c r="J12" i="36"/>
  <c r="H12" i="36"/>
  <c r="J24" i="36"/>
  <c r="H24" i="36"/>
  <c r="J39" i="40"/>
  <c r="H39" i="40"/>
  <c r="AA23" i="21"/>
  <c r="U33" i="21"/>
  <c r="AA23" i="37"/>
  <c r="D9" i="68"/>
  <c r="C9" i="68" s="1"/>
  <c r="B63" i="43"/>
  <c r="B56" i="43"/>
  <c r="B49" i="43"/>
  <c r="B54" i="43"/>
  <c r="C21" i="40"/>
  <c r="C17" i="40"/>
  <c r="C19" i="39"/>
  <c r="S28" i="21"/>
  <c r="AC26" i="21"/>
  <c r="S27" i="21"/>
  <c r="W17" i="21"/>
  <c r="W42" i="21"/>
  <c r="AA30" i="21"/>
  <c r="AB25" i="21"/>
  <c r="W29" i="21"/>
  <c r="AA31" i="21"/>
  <c r="H9" i="21"/>
  <c r="H45" i="21"/>
  <c r="W30" i="21"/>
  <c r="AB14" i="21"/>
  <c r="AA11" i="21"/>
  <c r="AB42" i="21"/>
  <c r="U39" i="33"/>
  <c r="AC37" i="33"/>
  <c r="AA11" i="34"/>
  <c r="S37" i="34"/>
  <c r="AB36" i="34"/>
  <c r="AA31" i="37"/>
  <c r="U36" i="37"/>
  <c r="W36" i="37"/>
  <c r="AA16" i="35"/>
  <c r="S24" i="35"/>
  <c r="AA13" i="36"/>
  <c r="S28" i="36"/>
  <c r="AB39" i="39"/>
  <c r="S23" i="39"/>
  <c r="U42" i="39"/>
  <c r="AA39" i="39"/>
  <c r="S31" i="40"/>
  <c r="AB28" i="40"/>
  <c r="H77" i="43"/>
  <c r="H76" i="43"/>
  <c r="H51" i="43"/>
  <c r="H70" i="43"/>
  <c r="H53" i="43"/>
  <c r="H84" i="43"/>
  <c r="H85" i="43"/>
  <c r="AC11" i="33"/>
  <c r="S43" i="33"/>
  <c r="S46" i="33"/>
  <c r="U42" i="33"/>
  <c r="S27" i="33"/>
  <c r="W42" i="33"/>
  <c r="S13" i="34"/>
  <c r="U27" i="34"/>
  <c r="AB35" i="34"/>
  <c r="W41" i="34"/>
  <c r="W25" i="34"/>
  <c r="AA12" i="37"/>
  <c r="U9" i="37"/>
  <c r="S37" i="37"/>
  <c r="W39" i="37"/>
  <c r="S32" i="37"/>
  <c r="H26" i="35"/>
  <c r="S8" i="35"/>
  <c r="AB10" i="35"/>
  <c r="S22" i="35"/>
  <c r="S20" i="35"/>
  <c r="AB16" i="35"/>
  <c r="W32" i="35"/>
  <c r="U28" i="35"/>
  <c r="S23" i="35"/>
  <c r="S14" i="36"/>
  <c r="W14" i="36"/>
  <c r="AA34" i="36"/>
  <c r="S27" i="36"/>
  <c r="AC27" i="36"/>
  <c r="U19" i="39"/>
  <c r="AB27" i="39"/>
  <c r="W39" i="39"/>
  <c r="W42" i="39"/>
  <c r="S30" i="40"/>
  <c r="F12" i="33"/>
  <c r="AC13" i="34"/>
  <c r="H82" i="43"/>
  <c r="H74" i="43"/>
  <c r="AC14" i="35"/>
  <c r="AC33" i="40"/>
  <c r="U17" i="39"/>
  <c r="U36" i="40"/>
  <c r="AC5" i="3"/>
  <c r="BM5" i="3"/>
  <c r="F29" i="6" s="1"/>
  <c r="AA41" i="39"/>
  <c r="S42" i="39"/>
  <c r="AB34" i="39"/>
  <c r="AB33" i="40"/>
  <c r="S14" i="40"/>
  <c r="AC12" i="37"/>
  <c r="AC46" i="21"/>
  <c r="W44" i="21"/>
  <c r="AB37" i="34"/>
  <c r="AB13" i="34"/>
  <c r="AA12" i="35"/>
  <c r="AC33" i="36"/>
  <c r="U14" i="40"/>
  <c r="U43" i="33"/>
  <c r="AA41" i="34"/>
  <c r="H31" i="40"/>
  <c r="AA12" i="21"/>
  <c r="AC28" i="21"/>
  <c r="AA14" i="37"/>
  <c r="AA14" i="33"/>
  <c r="AA44" i="33"/>
  <c r="J14" i="37"/>
  <c r="F13" i="40"/>
  <c r="H35" i="35"/>
  <c r="F35" i="35"/>
  <c r="H25" i="35"/>
  <c r="F25" i="35"/>
  <c r="H13" i="35"/>
  <c r="J13" i="35"/>
  <c r="J47" i="34"/>
  <c r="F47" i="34"/>
  <c r="F45" i="34"/>
  <c r="J45" i="34"/>
  <c r="F31" i="34"/>
  <c r="H31" i="34"/>
  <c r="H29" i="34"/>
  <c r="F30" i="33"/>
  <c r="W12" i="40"/>
  <c r="J28" i="33"/>
  <c r="F28" i="33"/>
  <c r="AA38" i="34"/>
  <c r="U30" i="35"/>
  <c r="F15" i="40"/>
  <c r="W40" i="33"/>
  <c r="S26" i="33"/>
  <c r="J28" i="34"/>
  <c r="S9" i="34"/>
  <c r="AC8" i="35"/>
  <c r="U8" i="35"/>
  <c r="F12" i="36"/>
  <c r="J15" i="40"/>
  <c r="W15" i="40" s="1"/>
  <c r="C21" i="39"/>
  <c r="C25" i="39"/>
  <c r="J21" i="40"/>
  <c r="S34" i="39"/>
  <c r="U40" i="40"/>
  <c r="W31" i="40"/>
  <c r="U38" i="40"/>
  <c r="W8" i="40"/>
  <c r="W28" i="35"/>
  <c r="U31" i="36"/>
  <c r="U14" i="37"/>
  <c r="F39" i="37"/>
  <c r="H12" i="33"/>
  <c r="H9" i="34"/>
  <c r="F38" i="40"/>
  <c r="J38" i="40"/>
  <c r="G551" i="3"/>
  <c r="BL548" i="3"/>
  <c r="AZ548" i="3" s="1"/>
  <c r="AZ398" i="3"/>
  <c r="AZ405" i="3"/>
  <c r="AZ407" i="3"/>
  <c r="AZ410" i="3"/>
  <c r="AZ415" i="3"/>
  <c r="AZ420" i="3"/>
  <c r="AZ426" i="3"/>
  <c r="AZ431" i="3"/>
  <c r="AZ436" i="3"/>
  <c r="AZ448" i="3"/>
  <c r="AZ452" i="3"/>
  <c r="AZ461" i="3"/>
  <c r="AZ463" i="3"/>
  <c r="AZ468" i="3"/>
  <c r="AZ470" i="3"/>
  <c r="AZ479" i="3"/>
  <c r="AZ485" i="3"/>
  <c r="AZ385" i="3"/>
  <c r="AZ210" i="3"/>
  <c r="AZ225" i="3"/>
  <c r="AZ239" i="3"/>
  <c r="AZ255" i="3"/>
  <c r="AZ277" i="3"/>
  <c r="AZ298" i="3"/>
  <c r="AZ301" i="3"/>
  <c r="AZ122" i="3"/>
  <c r="AZ316" i="3"/>
  <c r="AZ220" i="3"/>
  <c r="AZ247" i="3"/>
  <c r="AZ264" i="3"/>
  <c r="AZ293" i="3"/>
  <c r="H5" i="3"/>
  <c r="BJ5" i="3"/>
  <c r="BF5" i="3"/>
  <c r="BD5" i="3"/>
  <c r="BQ5" i="3"/>
  <c r="AZ126" i="3"/>
  <c r="AZ129" i="3"/>
  <c r="AZ141" i="3"/>
  <c r="AZ161" i="3"/>
  <c r="AZ193" i="3"/>
  <c r="AZ205" i="3"/>
  <c r="AZ23" i="3"/>
  <c r="AZ38" i="3"/>
  <c r="AZ48" i="3"/>
  <c r="AZ52" i="3"/>
  <c r="AZ64" i="3"/>
  <c r="AZ68" i="3"/>
  <c r="AZ108" i="3"/>
  <c r="R10" i="1"/>
  <c r="K10" i="1"/>
  <c r="M10" i="1" s="1"/>
  <c r="O10" i="1" s="1"/>
  <c r="P10" i="1" s="1"/>
  <c r="U21" i="33"/>
  <c r="AB21" i="33"/>
  <c r="AA21" i="37"/>
  <c r="S21" i="37"/>
  <c r="AC29" i="39"/>
  <c r="W29" i="39"/>
  <c r="T41" i="71"/>
  <c r="D41" i="71"/>
  <c r="C55" i="71"/>
  <c r="D55" i="71" s="1"/>
  <c r="E12" i="71"/>
  <c r="E11" i="71" s="1"/>
  <c r="V13" i="71"/>
  <c r="AA9" i="71"/>
  <c r="AA11" i="71"/>
  <c r="AA13" i="71"/>
  <c r="AA12" i="71"/>
  <c r="X15" i="71"/>
  <c r="X12" i="71"/>
  <c r="BN5" i="3"/>
  <c r="BS5" i="3"/>
  <c r="U21" i="21"/>
  <c r="AB21" i="21"/>
  <c r="W21" i="34"/>
  <c r="AC21" i="34"/>
  <c r="AA21" i="21"/>
  <c r="S21" i="21"/>
  <c r="AA18" i="36"/>
  <c r="S18" i="36"/>
  <c r="C59" i="71"/>
  <c r="D59" i="71" s="1"/>
  <c r="D60" i="71"/>
  <c r="O52" i="71"/>
  <c r="C51" i="71"/>
  <c r="AA16" i="71"/>
  <c r="AA17" i="71"/>
  <c r="Y20" i="71"/>
  <c r="Z20" i="71" s="1"/>
  <c r="Y18" i="71"/>
  <c r="Z18" i="71" s="1"/>
  <c r="Y15" i="71"/>
  <c r="Z15" i="71" s="1"/>
  <c r="Y19" i="71"/>
  <c r="Z19" i="71" s="1"/>
  <c r="Y14" i="71"/>
  <c r="Z14" i="71" s="1"/>
  <c r="C21" i="71"/>
  <c r="X18" i="71"/>
  <c r="X20" i="71"/>
  <c r="X21" i="71"/>
  <c r="AB21" i="71"/>
  <c r="AB16" i="71"/>
  <c r="AB12" i="71"/>
  <c r="B23" i="71"/>
  <c r="B24" i="71" s="1"/>
  <c r="B25" i="71" s="1"/>
  <c r="S25" i="71" s="1"/>
  <c r="X22" i="71"/>
  <c r="E23" i="71"/>
  <c r="E24" i="71" s="1"/>
  <c r="E25" i="71" s="1"/>
  <c r="U25" i="71" s="1"/>
  <c r="AA18" i="71"/>
  <c r="V9" i="71"/>
  <c r="E8" i="71"/>
  <c r="E7" i="71" s="1"/>
  <c r="AB18" i="36"/>
  <c r="U18" i="36"/>
  <c r="B16" i="71"/>
  <c r="B17" i="71" s="1"/>
  <c r="S17" i="71" s="1"/>
  <c r="C13" i="71"/>
  <c r="Y10" i="71"/>
  <c r="Z10" i="71" s="1"/>
  <c r="Y11" i="71"/>
  <c r="Z11" i="71" s="1"/>
  <c r="Y12" i="71"/>
  <c r="Z12" i="71" s="1"/>
  <c r="Y13" i="71"/>
  <c r="Z13" i="71" s="1"/>
  <c r="Y3" i="71"/>
  <c r="Z3" i="71" s="1"/>
  <c r="X11" i="71"/>
  <c r="X13" i="71"/>
  <c r="E15" i="71"/>
  <c r="E16" i="71" s="1"/>
  <c r="E17" i="71" s="1"/>
  <c r="U17" i="71" s="1"/>
  <c r="AA14" i="71"/>
  <c r="AB15" i="71"/>
  <c r="AB14" i="71"/>
  <c r="AB11" i="71"/>
  <c r="AB13" i="71"/>
  <c r="AA19" i="71"/>
  <c r="AB23" i="71"/>
  <c r="AB22" i="71"/>
  <c r="B32" i="71"/>
  <c r="B33" i="71" s="1"/>
  <c r="S33" i="71" s="1"/>
  <c r="C32" i="71"/>
  <c r="D32" i="71" s="1"/>
  <c r="D31" i="71"/>
  <c r="AA8" i="71"/>
  <c r="AA3" i="71"/>
  <c r="Y16" i="71"/>
  <c r="Z16" i="71" s="1"/>
  <c r="X16" i="71"/>
  <c r="X17" i="71"/>
  <c r="AB17" i="71"/>
  <c r="AB19" i="71"/>
  <c r="AB18" i="71"/>
  <c r="AA20" i="71"/>
  <c r="AA21" i="71"/>
  <c r="E32" i="71"/>
  <c r="E33" i="71" s="1"/>
  <c r="U33" i="71" s="1"/>
  <c r="B48" i="71"/>
  <c r="B49" i="71" s="1"/>
  <c r="S49" i="71" s="1"/>
  <c r="L1" i="73"/>
  <c r="J1" i="73"/>
  <c r="C9" i="71"/>
  <c r="Y9" i="71"/>
  <c r="Z9" i="71" s="1"/>
  <c r="AB9" i="71"/>
  <c r="X6" i="71"/>
  <c r="X7" i="71"/>
  <c r="Y6" i="71"/>
  <c r="Z6" i="71" s="1"/>
  <c r="S53" i="71"/>
  <c r="B52" i="71"/>
  <c r="P61" i="67"/>
  <c r="P74" i="67"/>
  <c r="X8" i="71"/>
  <c r="B9" i="71"/>
  <c r="X9" i="71"/>
  <c r="Y7" i="71"/>
  <c r="Z7" i="71" s="1"/>
  <c r="Y8" i="71"/>
  <c r="Z8" i="71" s="1"/>
  <c r="AB7" i="71"/>
  <c r="AB8" i="71"/>
  <c r="AA6" i="71"/>
  <c r="AA7" i="71"/>
  <c r="AB6" i="71"/>
  <c r="AB5" i="71"/>
  <c r="X5" i="71"/>
  <c r="AA5" i="71"/>
  <c r="F37" i="43"/>
  <c r="G17" i="43"/>
  <c r="C17" i="43"/>
  <c r="H54" i="43"/>
  <c r="H17" i="43"/>
  <c r="E9" i="43"/>
  <c r="C7" i="43" s="1"/>
  <c r="G1" i="68"/>
  <c r="K12" i="1"/>
  <c r="M12" i="1" s="1"/>
  <c r="K6" i="1"/>
  <c r="H48" i="43"/>
  <c r="H50" i="43"/>
  <c r="J17" i="43"/>
  <c r="I17" i="43"/>
  <c r="E17" i="43"/>
  <c r="H113" i="43"/>
  <c r="B16" i="53"/>
  <c r="B33" i="72" s="1"/>
  <c r="K1" i="12"/>
  <c r="D70" i="39"/>
  <c r="E58" i="33"/>
  <c r="F58" i="33" s="1"/>
  <c r="G58" i="33" s="1"/>
  <c r="H58" i="33" s="1"/>
  <c r="I58" i="33" s="1"/>
  <c r="J58" i="33" s="1"/>
  <c r="K58" i="33" s="1"/>
  <c r="L58" i="33" s="1"/>
  <c r="M58" i="33" s="1"/>
  <c r="N58" i="33" s="1"/>
  <c r="O58" i="33" s="1"/>
  <c r="H7" i="33"/>
  <c r="U7" i="33" s="1"/>
  <c r="G68" i="39"/>
  <c r="F70" i="39"/>
  <c r="F53" i="9"/>
  <c r="F32" i="79"/>
  <c r="F60" i="79" s="1"/>
  <c r="F28" i="79"/>
  <c r="C28" i="79" s="1"/>
  <c r="F32" i="78"/>
  <c r="F60" i="78" s="1"/>
  <c r="F28" i="78"/>
  <c r="C28" i="78" s="1"/>
  <c r="M18" i="78"/>
  <c r="M18" i="79"/>
  <c r="J51" i="78"/>
  <c r="J51" i="79"/>
  <c r="F7" i="33"/>
  <c r="G1" i="69"/>
  <c r="K7" i="1"/>
  <c r="B9" i="1"/>
  <c r="E9" i="1" s="1"/>
  <c r="K11" i="1"/>
  <c r="M11" i="1" s="1"/>
  <c r="G19" i="43"/>
  <c r="O19" i="43" s="1"/>
  <c r="C7" i="40"/>
  <c r="C63" i="40" s="1"/>
  <c r="C65" i="40" s="1"/>
  <c r="C7" i="35"/>
  <c r="C48" i="35" s="1"/>
  <c r="D48" i="35" s="1"/>
  <c r="C9" i="11"/>
  <c r="S9" i="1"/>
  <c r="AR9" i="1" s="1"/>
  <c r="S11" i="1"/>
  <c r="AQ11" i="1" s="1"/>
  <c r="D93" i="9"/>
  <c r="C20" i="43"/>
  <c r="C7" i="34"/>
  <c r="C59" i="34" s="1"/>
  <c r="D59" i="34" s="1"/>
  <c r="E59" i="34" s="1"/>
  <c r="F59" i="34" s="1"/>
  <c r="G59" i="34" s="1"/>
  <c r="H59" i="34" s="1"/>
  <c r="I59" i="34" s="1"/>
  <c r="J59" i="34" s="1"/>
  <c r="K59" i="34" s="1"/>
  <c r="L59" i="34" s="1"/>
  <c r="M59" i="34" s="1"/>
  <c r="N59" i="34" s="1"/>
  <c r="O59" i="34" s="1"/>
  <c r="C77" i="9"/>
  <c r="M20" i="15"/>
  <c r="F34" i="79"/>
  <c r="F62" i="79" s="1"/>
  <c r="M20" i="79"/>
  <c r="F34" i="78"/>
  <c r="F62" i="78" s="1"/>
  <c r="M20" i="78"/>
  <c r="J51" i="15"/>
  <c r="J53" i="15" s="1"/>
  <c r="F1" i="15" s="1"/>
  <c r="D22" i="67"/>
  <c r="D63" i="40"/>
  <c r="C40" i="68"/>
  <c r="C40" i="69"/>
  <c r="F17" i="40"/>
  <c r="AA17" i="40" s="1"/>
  <c r="H17" i="40"/>
  <c r="U17" i="40" s="1"/>
  <c r="F28" i="40"/>
  <c r="W28" i="40"/>
  <c r="J23" i="40"/>
  <c r="AC17" i="40"/>
  <c r="U35" i="40"/>
  <c r="W35" i="40"/>
  <c r="W25" i="40"/>
  <c r="U25" i="40"/>
  <c r="S25" i="40"/>
  <c r="U23" i="40"/>
  <c r="W19" i="40"/>
  <c r="U21" i="40"/>
  <c r="S21" i="40"/>
  <c r="AB19" i="40"/>
  <c r="AA19" i="40"/>
  <c r="AB17" i="40"/>
  <c r="U15" i="40"/>
  <c r="AC15" i="40"/>
  <c r="AC32" i="40"/>
  <c r="W32" i="40"/>
  <c r="U9" i="40"/>
  <c r="AA9" i="40"/>
  <c r="BL13" i="3"/>
  <c r="BL5" i="3" s="1"/>
  <c r="D9" i="69"/>
  <c r="C9" i="69" s="1"/>
  <c r="G13" i="3"/>
  <c r="G5" i="3" s="1"/>
  <c r="B3" i="3" s="1"/>
  <c r="E13" i="3" s="1"/>
  <c r="I4" i="6"/>
  <c r="G3" i="43" s="1"/>
  <c r="B113" i="43" s="1"/>
  <c r="C16" i="43"/>
  <c r="D5" i="43" s="1"/>
  <c r="B7" i="1"/>
  <c r="E7" i="1" s="1"/>
  <c r="G1" i="78"/>
  <c r="O7" i="1"/>
  <c r="P7" i="1" s="1"/>
  <c r="B8" i="1"/>
  <c r="E8" i="1" s="1"/>
  <c r="G1" i="79"/>
  <c r="P61" i="15"/>
  <c r="C94" i="9"/>
  <c r="C92" i="9"/>
  <c r="M18" i="15"/>
  <c r="F30" i="69"/>
  <c r="C48" i="69" s="1"/>
  <c r="F54" i="9"/>
  <c r="F32" i="15"/>
  <c r="F60" i="15" s="1"/>
  <c r="F32" i="67"/>
  <c r="F60" i="67" s="1"/>
  <c r="D68" i="9"/>
  <c r="F28" i="15"/>
  <c r="M18" i="67"/>
  <c r="F31" i="12"/>
  <c r="C31" i="12" s="1"/>
  <c r="F28" i="67"/>
  <c r="C28" i="67" s="1"/>
  <c r="F30" i="11"/>
  <c r="F30" i="68"/>
  <c r="C30" i="68" s="1"/>
  <c r="C13" i="12"/>
  <c r="D23" i="67"/>
  <c r="T35" i="4"/>
  <c r="A19" i="51" s="1"/>
  <c r="B14" i="72" s="1"/>
  <c r="A15" i="62"/>
  <c r="B61" i="72" s="1"/>
  <c r="G10" i="1"/>
  <c r="G8" i="1"/>
  <c r="D19" i="53"/>
  <c r="I14" i="74"/>
  <c r="B8" i="74" s="1"/>
  <c r="D127" i="9"/>
  <c r="D13" i="52" s="1"/>
  <c r="D12" i="52"/>
  <c r="J50" i="40"/>
  <c r="AB7" i="33"/>
  <c r="T48" i="33" s="1"/>
  <c r="G48" i="33" s="1"/>
  <c r="H68" i="39"/>
  <c r="G70" i="39"/>
  <c r="H52" i="37"/>
  <c r="I52" i="37" s="1"/>
  <c r="J52" i="37" s="1"/>
  <c r="K52" i="37" s="1"/>
  <c r="L52" i="37" s="1"/>
  <c r="M52" i="37" s="1"/>
  <c r="N52" i="37" s="1"/>
  <c r="O52" i="37" s="1"/>
  <c r="H7" i="37"/>
  <c r="F7" i="37"/>
  <c r="J7" i="21"/>
  <c r="G58" i="21"/>
  <c r="H58" i="21" s="1"/>
  <c r="I58" i="21" s="1"/>
  <c r="J58" i="21" s="1"/>
  <c r="K58" i="21" s="1"/>
  <c r="L58" i="21" s="1"/>
  <c r="M58" i="21" s="1"/>
  <c r="N58" i="21" s="1"/>
  <c r="O58" i="21" s="1"/>
  <c r="H7" i="21"/>
  <c r="D46" i="36"/>
  <c r="F7" i="21"/>
  <c r="C28" i="15"/>
  <c r="C48" i="68"/>
  <c r="C74" i="9"/>
  <c r="C24" i="12"/>
  <c r="E70" i="39"/>
  <c r="F7" i="34"/>
  <c r="J7" i="37"/>
  <c r="E48" i="35"/>
  <c r="J7" i="34"/>
  <c r="H7" i="34"/>
  <c r="C70" i="39"/>
  <c r="C36" i="68"/>
  <c r="AQ9" i="1"/>
  <c r="AR13" i="1"/>
  <c r="AQ13" i="1"/>
  <c r="T13" i="1"/>
  <c r="AQ10" i="1"/>
  <c r="AR10" i="1"/>
  <c r="AQ12" i="1"/>
  <c r="T12" i="1"/>
  <c r="T10" i="1"/>
  <c r="M9" i="1"/>
  <c r="O9" i="1" s="1"/>
  <c r="BB5" i="3"/>
  <c r="BA13" i="3"/>
  <c r="G29" i="6"/>
  <c r="K101" i="43"/>
  <c r="AI11" i="43"/>
  <c r="AI13" i="43" s="1"/>
  <c r="C36" i="69"/>
  <c r="O11" i="1"/>
  <c r="P11" i="1" s="1"/>
  <c r="O12" i="1"/>
  <c r="P12" i="1" s="1"/>
  <c r="O8" i="1"/>
  <c r="P8" i="1" s="1"/>
  <c r="P6" i="1"/>
  <c r="F6" i="71"/>
  <c r="F5" i="71" s="1"/>
  <c r="Y5" i="71"/>
  <c r="Z5" i="71" s="1"/>
  <c r="B7" i="49"/>
  <c r="E4" i="4" s="1"/>
  <c r="B5" i="62" s="1"/>
  <c r="E7" i="49"/>
  <c r="B15" i="49"/>
  <c r="AB3" i="71"/>
  <c r="X3" i="71"/>
  <c r="E6" i="71"/>
  <c r="E5" i="71" s="1"/>
  <c r="E10" i="49"/>
  <c r="B6" i="49"/>
  <c r="E14" i="49"/>
  <c r="AF3" i="71"/>
  <c r="P24" i="43" s="1"/>
  <c r="B66" i="40" s="1"/>
  <c r="P21" i="43"/>
  <c r="C23" i="12"/>
  <c r="B13" i="49"/>
  <c r="C4" i="4" s="1"/>
  <c r="B4" i="62" s="1"/>
  <c r="B4" i="49"/>
  <c r="B9" i="49"/>
  <c r="E22" i="49"/>
  <c r="E16" i="49"/>
  <c r="E11" i="49"/>
  <c r="B10" i="49"/>
  <c r="E6" i="49"/>
  <c r="E8" i="49"/>
  <c r="E5" i="49"/>
  <c r="B8" i="49"/>
  <c r="B5" i="49"/>
  <c r="E21" i="49"/>
  <c r="E4" i="49"/>
  <c r="B11" i="49"/>
  <c r="B14" i="49"/>
  <c r="B16" i="49"/>
  <c r="E13" i="49"/>
  <c r="E15" i="49"/>
  <c r="E9" i="49"/>
  <c r="B22" i="49"/>
  <c r="F70" i="67"/>
  <c r="F64" i="67"/>
  <c r="I54" i="15"/>
  <c r="F66" i="15"/>
  <c r="B10" i="70"/>
  <c r="F68" i="67"/>
  <c r="F66" i="67"/>
  <c r="L59" i="67"/>
  <c r="M59" i="67"/>
  <c r="N59" i="67"/>
  <c r="L58" i="67"/>
  <c r="F68" i="15"/>
  <c r="L59" i="15"/>
  <c r="L58" i="15"/>
  <c r="Q71" i="67"/>
  <c r="B13" i="70"/>
  <c r="B20" i="31"/>
  <c r="F65" i="67"/>
  <c r="Q71" i="15"/>
  <c r="F51" i="67"/>
  <c r="B11" i="70"/>
  <c r="F51" i="15"/>
  <c r="I54" i="67"/>
  <c r="J57" i="67"/>
  <c r="J55" i="67" s="1"/>
  <c r="J58" i="67" s="1"/>
  <c r="Q50" i="67" s="1"/>
  <c r="L56" i="67"/>
  <c r="C27" i="67"/>
  <c r="B12" i="70"/>
  <c r="B9" i="70"/>
  <c r="K1" i="73"/>
  <c r="F31" i="15"/>
  <c r="F59" i="15"/>
  <c r="M17" i="67"/>
  <c r="M17" i="15"/>
  <c r="F59" i="67"/>
  <c r="F31" i="67"/>
  <c r="F13" i="15"/>
  <c r="F42" i="15"/>
  <c r="F43" i="15"/>
  <c r="F36" i="79"/>
  <c r="C76" i="78"/>
  <c r="F26" i="78"/>
  <c r="F43" i="67"/>
  <c r="F7" i="78"/>
  <c r="F9" i="79"/>
  <c r="F26" i="79"/>
  <c r="L47" i="79"/>
  <c r="AE6" i="1"/>
  <c r="F7" i="79"/>
  <c r="F13" i="79"/>
  <c r="M26" i="79"/>
  <c r="M8" i="78"/>
  <c r="M26" i="78"/>
  <c r="F7" i="15"/>
  <c r="J15" i="78"/>
  <c r="F42" i="79"/>
  <c r="M23" i="78"/>
  <c r="M28" i="78"/>
  <c r="F8" i="78"/>
  <c r="F36" i="78"/>
  <c r="F8" i="79"/>
  <c r="F38" i="78"/>
  <c r="M6" i="78"/>
  <c r="F6" i="79"/>
  <c r="M28" i="15"/>
  <c r="F36" i="15"/>
  <c r="M29" i="15"/>
  <c r="L48" i="79"/>
  <c r="F38" i="79"/>
  <c r="L48" i="78"/>
  <c r="F16" i="78"/>
  <c r="F16" i="15"/>
  <c r="F37" i="15"/>
  <c r="F7" i="67"/>
  <c r="M27" i="78"/>
  <c r="F40" i="78"/>
  <c r="M6" i="79"/>
  <c r="F13" i="78"/>
  <c r="F40" i="79"/>
  <c r="M27" i="79"/>
  <c r="M22" i="79"/>
  <c r="M9" i="78"/>
  <c r="M9" i="79"/>
  <c r="M8" i="79"/>
  <c r="C76" i="79"/>
  <c r="F6" i="78"/>
  <c r="F42" i="78"/>
  <c r="F37" i="79"/>
  <c r="M29" i="67"/>
  <c r="M23" i="15"/>
  <c r="M29" i="78"/>
  <c r="M24" i="78"/>
  <c r="F43" i="78"/>
  <c r="M29" i="79"/>
  <c r="M22" i="15"/>
  <c r="F43" i="79"/>
  <c r="J15" i="79"/>
  <c r="M24" i="79"/>
  <c r="M22" i="78"/>
  <c r="F9" i="78"/>
  <c r="L47" i="78"/>
  <c r="F16" i="79"/>
  <c r="M28" i="79"/>
  <c r="F37" i="78"/>
  <c r="M24" i="15"/>
  <c r="F26" i="15"/>
  <c r="M23" i="79"/>
  <c r="E101" i="43" l="1"/>
  <c r="E106" i="43" s="1"/>
  <c r="G101" i="43"/>
  <c r="AR11" i="1"/>
  <c r="T11" i="1"/>
  <c r="H16" i="1"/>
  <c r="T9" i="1"/>
  <c r="C27" i="15"/>
  <c r="F64" i="15"/>
  <c r="F65" i="15"/>
  <c r="B8" i="71"/>
  <c r="B7" i="71" s="1"/>
  <c r="B6" i="71" s="1"/>
  <c r="B5" i="71" s="1"/>
  <c r="S9" i="71"/>
  <c r="B51" i="71"/>
  <c r="N52" i="71"/>
  <c r="AA38" i="40"/>
  <c r="S38" i="40"/>
  <c r="U12" i="33"/>
  <c r="AB12" i="33"/>
  <c r="W21" i="40"/>
  <c r="AC21" i="40"/>
  <c r="AA12" i="36"/>
  <c r="S12" i="36"/>
  <c r="AC28" i="34"/>
  <c r="W28" i="34"/>
  <c r="S28" i="33"/>
  <c r="AA28" i="33"/>
  <c r="AB29" i="34"/>
  <c r="U29" i="34"/>
  <c r="S31" i="34"/>
  <c r="AA31" i="34"/>
  <c r="AA45" i="34"/>
  <c r="S45" i="34"/>
  <c r="AC47" i="34"/>
  <c r="W47" i="34"/>
  <c r="AB13" i="35"/>
  <c r="U13" i="35"/>
  <c r="AB25" i="35"/>
  <c r="U25" i="35"/>
  <c r="AB35" i="35"/>
  <c r="U35" i="35"/>
  <c r="AC14" i="37"/>
  <c r="W14" i="37"/>
  <c r="U31" i="40"/>
  <c r="AB31" i="40"/>
  <c r="AB26" i="35"/>
  <c r="U26" i="35"/>
  <c r="AB45" i="21"/>
  <c r="U45" i="21"/>
  <c r="U39" i="40"/>
  <c r="AB39" i="40"/>
  <c r="U24" i="36"/>
  <c r="AB24" i="36"/>
  <c r="U12" i="36"/>
  <c r="AB12" i="36"/>
  <c r="P22" i="43"/>
  <c r="P23" i="43"/>
  <c r="B71" i="39" s="1"/>
  <c r="C8" i="71"/>
  <c r="D9" i="71"/>
  <c r="U9" i="71" s="1"/>
  <c r="T9" i="71"/>
  <c r="C12" i="71"/>
  <c r="T13" i="71"/>
  <c r="D13" i="71"/>
  <c r="U13" i="71" s="1"/>
  <c r="T21" i="71"/>
  <c r="D21" i="71"/>
  <c r="D51" i="71"/>
  <c r="O50" i="71"/>
  <c r="O51" i="71"/>
  <c r="F28" i="6"/>
  <c r="AC38" i="40"/>
  <c r="W38" i="40"/>
  <c r="AB9" i="34"/>
  <c r="U9" i="34"/>
  <c r="AA39" i="37"/>
  <c r="S39" i="37"/>
  <c r="S15" i="40"/>
  <c r="AA15" i="40"/>
  <c r="AC28" i="33"/>
  <c r="W28" i="33"/>
  <c r="AA30" i="33"/>
  <c r="S30" i="33"/>
  <c r="U31" i="34"/>
  <c r="AB31" i="34"/>
  <c r="W45" i="34"/>
  <c r="AC45" i="34"/>
  <c r="AA47" i="34"/>
  <c r="S47" i="34"/>
  <c r="AC13" i="35"/>
  <c r="W13" i="35"/>
  <c r="S25" i="35"/>
  <c r="AA25" i="35"/>
  <c r="S35" i="35"/>
  <c r="AA35" i="35"/>
  <c r="AA13" i="40"/>
  <c r="S13" i="40"/>
  <c r="S12" i="33"/>
  <c r="AA12" i="33"/>
  <c r="U9" i="21"/>
  <c r="AB9" i="21"/>
  <c r="AC39" i="40"/>
  <c r="W39" i="40"/>
  <c r="AC24" i="36"/>
  <c r="W24" i="36"/>
  <c r="W12" i="36"/>
  <c r="AC12" i="36"/>
  <c r="F71" i="15"/>
  <c r="F50" i="15"/>
  <c r="M7" i="15"/>
  <c r="J6" i="15" s="1"/>
  <c r="C6" i="15"/>
  <c r="G16" i="1"/>
  <c r="M6" i="1"/>
  <c r="F50" i="67"/>
  <c r="C49" i="67" s="1"/>
  <c r="C6" i="67"/>
  <c r="M7" i="67"/>
  <c r="J6" i="67" s="1"/>
  <c r="F71" i="67"/>
  <c r="M7" i="1"/>
  <c r="S7" i="33"/>
  <c r="AA7" i="33"/>
  <c r="R48" i="33" s="1"/>
  <c r="M59" i="15"/>
  <c r="N59" i="15"/>
  <c r="J57" i="15"/>
  <c r="J55" i="15" s="1"/>
  <c r="J58" i="15" s="1"/>
  <c r="Q50" i="15" s="1"/>
  <c r="Q16" i="1"/>
  <c r="F27" i="69" s="1"/>
  <c r="C47" i="69" s="1"/>
  <c r="D45" i="69" s="1"/>
  <c r="J7" i="33"/>
  <c r="C30" i="69"/>
  <c r="E63" i="40"/>
  <c r="D65" i="40"/>
  <c r="H10" i="39"/>
  <c r="AB10" i="39" s="1"/>
  <c r="H10" i="40"/>
  <c r="J10" i="40"/>
  <c r="AC10" i="40" s="1"/>
  <c r="F10" i="40"/>
  <c r="S17" i="40"/>
  <c r="AA28" i="40"/>
  <c r="S28" i="40"/>
  <c r="AC23" i="40"/>
  <c r="W23" i="40"/>
  <c r="C5" i="43"/>
  <c r="B71" i="72"/>
  <c r="B73" i="72"/>
  <c r="AA11" i="43"/>
  <c r="AA13" i="43" s="1"/>
  <c r="AD11" i="43"/>
  <c r="AD13" i="43" s="1"/>
  <c r="H22" i="43"/>
  <c r="L101" i="43"/>
  <c r="J22" i="43"/>
  <c r="AE11" i="43"/>
  <c r="AE13" i="43" s="1"/>
  <c r="Z11" i="43"/>
  <c r="Z13" i="43" s="1"/>
  <c r="AH11" i="43"/>
  <c r="AH13" i="43" s="1"/>
  <c r="M101" i="43"/>
  <c r="M102" i="43" s="1"/>
  <c r="N101" i="43"/>
  <c r="G22" i="43"/>
  <c r="J101" i="43"/>
  <c r="Y11" i="43"/>
  <c r="Y13" i="43" s="1"/>
  <c r="AC11" i="43"/>
  <c r="AC13" i="43" s="1"/>
  <c r="AG11" i="43"/>
  <c r="AG13" i="43" s="1"/>
  <c r="Z7" i="43"/>
  <c r="AB11" i="43"/>
  <c r="AB13" i="43" s="1"/>
  <c r="AF11" i="43"/>
  <c r="AF13" i="43" s="1"/>
  <c r="AJ11" i="43"/>
  <c r="AJ13" i="43" s="1"/>
  <c r="I101" i="43"/>
  <c r="D101" i="43"/>
  <c r="D105" i="43" s="1"/>
  <c r="E22" i="43"/>
  <c r="F101" i="43"/>
  <c r="F104" i="43" s="1"/>
  <c r="F22" i="43"/>
  <c r="H101" i="43"/>
  <c r="H103" i="43" s="1"/>
  <c r="N104" i="46"/>
  <c r="C101" i="43"/>
  <c r="C107" i="43" s="1"/>
  <c r="M6"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125" i="3"/>
  <c r="E217" i="3"/>
  <c r="E366" i="3"/>
  <c r="E526" i="3"/>
  <c r="E553" i="3"/>
  <c r="E268" i="3"/>
  <c r="E282" i="3"/>
  <c r="E322" i="3"/>
  <c r="N6" i="3"/>
  <c r="AJ6" i="3"/>
  <c r="E347" i="3"/>
  <c r="E583" i="3"/>
  <c r="AA6" i="3"/>
  <c r="X6" i="3"/>
  <c r="E399" i="3"/>
  <c r="E336" i="3"/>
  <c r="E280" i="3"/>
  <c r="E246" i="3"/>
  <c r="E124" i="3"/>
  <c r="E293" i="3"/>
  <c r="E311" i="3"/>
  <c r="E358" i="3"/>
  <c r="E514" i="3"/>
  <c r="E559" i="3"/>
  <c r="E570" i="3"/>
  <c r="E551" i="3"/>
  <c r="V6" i="3"/>
  <c r="AB6" i="3"/>
  <c r="E407" i="3"/>
  <c r="E387" i="3"/>
  <c r="E320" i="3"/>
  <c r="E335" i="3"/>
  <c r="E294" i="3"/>
  <c r="E215" i="3"/>
  <c r="E230" i="3"/>
  <c r="E189" i="3"/>
  <c r="E130" i="3"/>
  <c r="E134" i="3"/>
  <c r="E254"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53" i="3"/>
  <c r="E319" i="3"/>
  <c r="E501" i="3"/>
  <c r="E153" i="3"/>
  <c r="E426" i="3"/>
  <c r="E328" i="3"/>
  <c r="E329" i="3"/>
  <c r="E545" i="3"/>
  <c r="E510" i="3"/>
  <c r="E352" i="3"/>
  <c r="E205" i="3"/>
  <c r="E128" i="3"/>
  <c r="E270" i="3"/>
  <c r="E533" i="3"/>
  <c r="AR6" i="3"/>
  <c r="E561" i="3"/>
  <c r="E538" i="3"/>
  <c r="E439" i="3"/>
  <c r="E380" i="3"/>
  <c r="E231" i="3"/>
  <c r="E216" i="3"/>
  <c r="E185" i="3"/>
  <c r="E135" i="3"/>
  <c r="E269"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75" i="3"/>
  <c r="E530" i="3"/>
  <c r="E343" i="3"/>
  <c r="E305" i="3"/>
  <c r="E508" i="3"/>
  <c r="E539" i="3"/>
  <c r="E567" i="3"/>
  <c r="E461" i="3"/>
  <c r="E227" i="3"/>
  <c r="E165" i="3"/>
  <c r="E390" i="3"/>
  <c r="S6" i="3"/>
  <c r="E523" i="3"/>
  <c r="E506" i="3"/>
  <c r="E418" i="3"/>
  <c r="E338" i="3"/>
  <c r="E321" i="3"/>
  <c r="E298" i="3"/>
  <c r="E169" i="3"/>
  <c r="E61" i="3"/>
  <c r="E228" i="3"/>
  <c r="E181" i="3"/>
  <c r="E157"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81" i="3"/>
  <c r="E341" i="3"/>
  <c r="Y6" i="3"/>
  <c r="E51" i="3"/>
  <c r="E19" i="3"/>
  <c r="E154" i="3"/>
  <c r="E179" i="3"/>
  <c r="E222" i="3"/>
  <c r="E323" i="3"/>
  <c r="E373" i="3"/>
  <c r="E82" i="3"/>
  <c r="E355" i="3"/>
  <c r="E68" i="3"/>
  <c r="E63" i="3"/>
  <c r="E81" i="3"/>
  <c r="E118" i="3"/>
  <c r="E264" i="3"/>
  <c r="E283" i="3"/>
  <c r="E309" i="3"/>
  <c r="E513" i="3"/>
  <c r="E21" i="3"/>
  <c r="F28" i="12"/>
  <c r="C29" i="12" s="1"/>
  <c r="D28" i="12" s="1"/>
  <c r="L58" i="78"/>
  <c r="L59" i="78"/>
  <c r="M59" i="78"/>
  <c r="N59" i="78"/>
  <c r="F68" i="78"/>
  <c r="J57" i="78"/>
  <c r="J55" i="78" s="1"/>
  <c r="J58" i="78" s="1"/>
  <c r="Q50" i="78" s="1"/>
  <c r="J60" i="78"/>
  <c r="Q48" i="78" s="1"/>
  <c r="I54" i="78"/>
  <c r="J53" i="78"/>
  <c r="J59" i="78"/>
  <c r="F51" i="78"/>
  <c r="Q71" i="78"/>
  <c r="F64" i="78"/>
  <c r="F66" i="78"/>
  <c r="C6" i="78"/>
  <c r="C27" i="78"/>
  <c r="F65" i="78"/>
  <c r="M7" i="78"/>
  <c r="J6" i="78" s="1"/>
  <c r="F50" i="78"/>
  <c r="C49" i="78" s="1"/>
  <c r="F71" i="78"/>
  <c r="I54" i="79"/>
  <c r="N59" i="79"/>
  <c r="M59" i="79"/>
  <c r="L58" i="79"/>
  <c r="L59" i="79"/>
  <c r="F71" i="79"/>
  <c r="F68" i="79"/>
  <c r="F50" i="79"/>
  <c r="M7" i="79"/>
  <c r="J6" i="79" s="1"/>
  <c r="J57" i="79"/>
  <c r="J55" i="79" s="1"/>
  <c r="J58" i="79" s="1"/>
  <c r="Q50" i="79" s="1"/>
  <c r="J60" i="79"/>
  <c r="Q48" i="79" s="1"/>
  <c r="J53" i="79"/>
  <c r="J59" i="79"/>
  <c r="F51" i="79"/>
  <c r="C49" i="79" s="1"/>
  <c r="Q71" i="79"/>
  <c r="F64" i="79"/>
  <c r="F66" i="79"/>
  <c r="C6" i="79"/>
  <c r="C27" i="79"/>
  <c r="F65" i="79"/>
  <c r="Q52" i="15"/>
  <c r="L56" i="15"/>
  <c r="C48" i="11"/>
  <c r="C30" i="11"/>
  <c r="B38" i="72"/>
  <c r="D20" i="53"/>
  <c r="B40" i="72" s="1"/>
  <c r="K4" i="4"/>
  <c r="B46" i="48" s="1"/>
  <c r="W7" i="34"/>
  <c r="AC7" i="34"/>
  <c r="V49" i="34" s="1"/>
  <c r="I49" i="34" s="1"/>
  <c r="W7" i="37"/>
  <c r="AC7" i="37"/>
  <c r="V42" i="37" s="1"/>
  <c r="I42" i="37" s="1"/>
  <c r="S7" i="21"/>
  <c r="AA7" i="21"/>
  <c r="R48" i="21" s="1"/>
  <c r="E46" i="36"/>
  <c r="AA7" i="37"/>
  <c r="R42" i="37" s="1"/>
  <c r="S7" i="37"/>
  <c r="I68" i="39"/>
  <c r="H70" i="39"/>
  <c r="G52" i="33"/>
  <c r="H52" i="33" s="1"/>
  <c r="U7" i="34"/>
  <c r="AB7" i="34"/>
  <c r="T49" i="34" s="1"/>
  <c r="G49" i="34" s="1"/>
  <c r="F48" i="35"/>
  <c r="S7" i="34"/>
  <c r="AA7" i="34"/>
  <c r="R49" i="34" s="1"/>
  <c r="AB7" i="21"/>
  <c r="T48" i="21" s="1"/>
  <c r="G48" i="21" s="1"/>
  <c r="U7" i="21"/>
  <c r="AC7" i="21"/>
  <c r="V48" i="21" s="1"/>
  <c r="I48" i="21" s="1"/>
  <c r="W7" i="21"/>
  <c r="U7" i="37"/>
  <c r="AB7" i="37"/>
  <c r="T42" i="37" s="1"/>
  <c r="G42" i="37" s="1"/>
  <c r="F10" i="39"/>
  <c r="AA10" i="39" s="1"/>
  <c r="D22" i="43"/>
  <c r="BA5" i="3"/>
  <c r="AZ13" i="3"/>
  <c r="AZ5" i="3" s="1"/>
  <c r="E29" i="6"/>
  <c r="G30" i="6"/>
  <c r="G31" i="6" s="1"/>
  <c r="E12" i="6"/>
  <c r="E11" i="6"/>
  <c r="E14" i="6"/>
  <c r="E8" i="6"/>
  <c r="E10" i="6"/>
  <c r="E15" i="6"/>
  <c r="E13" i="6"/>
  <c r="J10" i="39"/>
  <c r="I109" i="43"/>
  <c r="I104" i="43"/>
  <c r="I107" i="43"/>
  <c r="I105" i="43"/>
  <c r="I102" i="43"/>
  <c r="I106" i="43"/>
  <c r="I103" i="43"/>
  <c r="D109" i="43"/>
  <c r="F102" i="43"/>
  <c r="H104" i="43"/>
  <c r="E102" i="43"/>
  <c r="E103" i="43"/>
  <c r="E104" i="43"/>
  <c r="E109" i="43"/>
  <c r="M103" i="43"/>
  <c r="N102" i="43"/>
  <c r="N105" i="43"/>
  <c r="N104" i="43"/>
  <c r="N109" i="43"/>
  <c r="N103" i="43"/>
  <c r="N106" i="43"/>
  <c r="N107" i="43"/>
  <c r="K103" i="43"/>
  <c r="K102" i="43"/>
  <c r="K105" i="43"/>
  <c r="K109" i="43"/>
  <c r="K107" i="43"/>
  <c r="K104" i="43"/>
  <c r="K106" i="43"/>
  <c r="L109" i="43"/>
  <c r="L106" i="43"/>
  <c r="L107" i="43"/>
  <c r="L103" i="43"/>
  <c r="L102" i="43"/>
  <c r="L105" i="43"/>
  <c r="L104" i="43"/>
  <c r="J105" i="43"/>
  <c r="J107" i="43"/>
  <c r="J102" i="43"/>
  <c r="J109" i="43"/>
  <c r="J104" i="43"/>
  <c r="J103" i="43"/>
  <c r="J106" i="43"/>
  <c r="G102" i="43"/>
  <c r="G107" i="43"/>
  <c r="G104" i="43"/>
  <c r="G106" i="43"/>
  <c r="G105" i="43"/>
  <c r="G103" i="43"/>
  <c r="G109" i="43"/>
  <c r="C103" i="43"/>
  <c r="D117" i="43"/>
  <c r="E117" i="43" s="1"/>
  <c r="F117" i="43" s="1"/>
  <c r="G117" i="43" s="1"/>
  <c r="H117"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I115" i="43"/>
  <c r="J115" i="43" s="1"/>
  <c r="K115" i="43" s="1"/>
  <c r="L115" i="43" s="1"/>
  <c r="M115" i="43" s="1"/>
  <c r="I118" i="43"/>
  <c r="J118" i="43" s="1"/>
  <c r="K118" i="43" s="1"/>
  <c r="L118" i="43" s="1"/>
  <c r="M118" i="43" s="1"/>
  <c r="D118" i="43"/>
  <c r="E118" i="43" s="1"/>
  <c r="F118" i="43" s="1"/>
  <c r="D115" i="43"/>
  <c r="E115" i="43" s="1"/>
  <c r="F115" i="43" s="1"/>
  <c r="G115" i="43" s="1"/>
  <c r="H115" i="43" s="1"/>
  <c r="P9" i="1"/>
  <c r="W10" i="40"/>
  <c r="P25" i="43"/>
  <c r="C49" i="15"/>
  <c r="Q73" i="67"/>
  <c r="Q60" i="67"/>
  <c r="Q60" i="15"/>
  <c r="Q73" i="15"/>
  <c r="Q74" i="15"/>
  <c r="Q61" i="15"/>
  <c r="Q61" i="67"/>
  <c r="Q74" i="67"/>
  <c r="D5" i="73"/>
  <c r="F5" i="73"/>
  <c r="C16" i="78"/>
  <c r="C16" i="67"/>
  <c r="D6" i="73"/>
  <c r="D4" i="73"/>
  <c r="F6" i="73"/>
  <c r="F4" i="73"/>
  <c r="C16" i="15"/>
  <c r="C16" i="79"/>
  <c r="D7" i="73"/>
  <c r="F3" i="73"/>
  <c r="D3" i="73"/>
  <c r="F41" i="15"/>
  <c r="F7" i="73"/>
  <c r="C109" i="43" l="1"/>
  <c r="M109" i="43"/>
  <c r="E105" i="43"/>
  <c r="E107" i="43"/>
  <c r="H105" i="43"/>
  <c r="F106" i="43"/>
  <c r="D103" i="43"/>
  <c r="E20" i="43"/>
  <c r="I1" i="73"/>
  <c r="B39" i="1" s="1"/>
  <c r="N50" i="71"/>
  <c r="N51" i="71"/>
  <c r="E28" i="6"/>
  <c r="K14" i="1" s="1"/>
  <c r="F30" i="6"/>
  <c r="C11" i="71"/>
  <c r="D11" i="71" s="1"/>
  <c r="D12" i="71"/>
  <c r="D8" i="71"/>
  <c r="C7" i="71"/>
  <c r="O6" i="1"/>
  <c r="R49" i="33"/>
  <c r="E48" i="33"/>
  <c r="C29" i="69"/>
  <c r="D27" i="69" s="1"/>
  <c r="F27" i="11"/>
  <c r="F27" i="68"/>
  <c r="C29" i="68" s="1"/>
  <c r="D27" i="68" s="1"/>
  <c r="W7" i="33"/>
  <c r="AC7" i="33"/>
  <c r="V48" i="33" s="1"/>
  <c r="I48" i="33" s="1"/>
  <c r="E65" i="40"/>
  <c r="F63" i="40"/>
  <c r="U10" i="39"/>
  <c r="B4" i="72"/>
  <c r="C105" i="43"/>
  <c r="C106" i="43"/>
  <c r="M105" i="43"/>
  <c r="M106" i="43"/>
  <c r="H107" i="43"/>
  <c r="H102" i="43"/>
  <c r="F109" i="43"/>
  <c r="D107" i="43"/>
  <c r="D106" i="43"/>
  <c r="C102" i="43"/>
  <c r="C104" i="43"/>
  <c r="M107" i="43"/>
  <c r="M104" i="43"/>
  <c r="H106" i="43"/>
  <c r="H109" i="43"/>
  <c r="F103" i="43"/>
  <c r="F107" i="43"/>
  <c r="F105" i="43"/>
  <c r="D104" i="43"/>
  <c r="D102" i="43"/>
  <c r="AC6" i="3"/>
  <c r="H6" i="3"/>
  <c r="F69" i="15"/>
  <c r="L56" i="78"/>
  <c r="F1" i="78"/>
  <c r="Q52" i="78"/>
  <c r="Q60" i="78"/>
  <c r="Q73" i="78"/>
  <c r="Q61" i="78"/>
  <c r="Q74" i="78"/>
  <c r="Q74" i="79"/>
  <c r="Q61" i="79"/>
  <c r="L56" i="79"/>
  <c r="F1" i="79"/>
  <c r="Q52" i="79"/>
  <c r="Q73" i="79"/>
  <c r="Q60" i="79"/>
  <c r="S10" i="39"/>
  <c r="G46" i="37"/>
  <c r="H46" i="37" s="1"/>
  <c r="G47" i="37"/>
  <c r="H47" i="37" s="1"/>
  <c r="R50" i="34"/>
  <c r="E49" i="34"/>
  <c r="I54" i="34" s="1"/>
  <c r="J54" i="34" s="1"/>
  <c r="G48" i="35"/>
  <c r="G53" i="34"/>
  <c r="H53" i="34" s="1"/>
  <c r="G54" i="34"/>
  <c r="H54" i="34" s="1"/>
  <c r="F46" i="36"/>
  <c r="I52" i="21"/>
  <c r="J52" i="21" s="1"/>
  <c r="G52" i="21"/>
  <c r="H52" i="21" s="1"/>
  <c r="G53" i="21"/>
  <c r="H53" i="21" s="1"/>
  <c r="J68" i="39"/>
  <c r="I70" i="39"/>
  <c r="E42" i="37"/>
  <c r="R43" i="37"/>
  <c r="E48" i="21"/>
  <c r="I53" i="21" s="1"/>
  <c r="J53" i="21" s="1"/>
  <c r="R49" i="21"/>
  <c r="I47" i="37"/>
  <c r="J47" i="37" s="1"/>
  <c r="I46" i="37"/>
  <c r="J46" i="37" s="1"/>
  <c r="I53" i="34"/>
  <c r="J53" i="34" s="1"/>
  <c r="S5" i="43"/>
  <c r="S3" i="43"/>
  <c r="C23" i="43"/>
  <c r="C21" i="43" s="1"/>
  <c r="S7" i="43"/>
  <c r="S2" i="43"/>
  <c r="S6" i="43"/>
  <c r="S4" i="43"/>
  <c r="AA10" i="40"/>
  <c r="S10" i="40"/>
  <c r="AB10" i="40"/>
  <c r="U10" i="40"/>
  <c r="E60" i="40"/>
  <c r="E65" i="39"/>
  <c r="F27" i="6"/>
  <c r="F31" i="6" s="1"/>
  <c r="E56" i="39"/>
  <c r="E51" i="40"/>
  <c r="E16" i="6"/>
  <c r="E61" i="39"/>
  <c r="E56" i="40"/>
  <c r="E3" i="6"/>
  <c r="AY6" i="3"/>
  <c r="AC10" i="39"/>
  <c r="W10" i="39"/>
  <c r="E58" i="40"/>
  <c r="E63" i="39"/>
  <c r="E59" i="40"/>
  <c r="E64" i="39"/>
  <c r="E57" i="40"/>
  <c r="E62" i="39"/>
  <c r="K15" i="1"/>
  <c r="E30" i="6"/>
  <c r="L21" i="6"/>
  <c r="L27" i="6" s="1"/>
  <c r="O14" i="1"/>
  <c r="C115" i="43"/>
  <c r="D113" i="43" s="1"/>
  <c r="AE7" i="1"/>
  <c r="AE8" i="1"/>
  <c r="G1" i="73"/>
  <c r="F41" i="67"/>
  <c r="B40" i="1" l="1"/>
  <c r="F25" i="12"/>
  <c r="C26" i="12" s="1"/>
  <c r="D25" i="12" s="1"/>
  <c r="F22" i="11"/>
  <c r="F24" i="67"/>
  <c r="C24" i="67" s="1"/>
  <c r="K16" i="1"/>
  <c r="B29" i="1" s="1"/>
  <c r="C8" i="68" s="1"/>
  <c r="C34" i="69"/>
  <c r="M14" i="1"/>
  <c r="M16" i="1" s="1"/>
  <c r="C34" i="68" s="1"/>
  <c r="F11" i="79"/>
  <c r="F11" i="78"/>
  <c r="M11" i="15"/>
  <c r="J10" i="15" s="1"/>
  <c r="J5" i="15" s="1"/>
  <c r="F11" i="15"/>
  <c r="F11" i="67"/>
  <c r="M11" i="67"/>
  <c r="J10" i="67" s="1"/>
  <c r="J5" i="67" s="1"/>
  <c r="J24" i="67" s="1"/>
  <c r="M11" i="79"/>
  <c r="J10" i="79" s="1"/>
  <c r="J5" i="79" s="1"/>
  <c r="J24" i="79" s="1"/>
  <c r="M11" i="78"/>
  <c r="J10" i="78" s="1"/>
  <c r="J5" i="78" s="1"/>
  <c r="J18" i="78" s="1"/>
  <c r="D7" i="71"/>
  <c r="C6" i="71"/>
  <c r="P17" i="43"/>
  <c r="N17" i="43"/>
  <c r="M17" i="43"/>
  <c r="O17" i="43"/>
  <c r="G53" i="33"/>
  <c r="H53" i="33" s="1"/>
  <c r="I52" i="33"/>
  <c r="J52" i="33" s="1"/>
  <c r="I53" i="33"/>
  <c r="J53" i="33" s="1"/>
  <c r="C48" i="33"/>
  <c r="C49" i="33"/>
  <c r="C47" i="68"/>
  <c r="D45" i="68" s="1"/>
  <c r="C29" i="11"/>
  <c r="D27" i="11" s="1"/>
  <c r="C47" i="11"/>
  <c r="D45" i="11" s="1"/>
  <c r="E52" i="33"/>
  <c r="F52" i="33" s="1"/>
  <c r="E53" i="33"/>
  <c r="F53" i="33" s="1"/>
  <c r="F65" i="40"/>
  <c r="G63" i="40"/>
  <c r="E6" i="3"/>
  <c r="F69" i="67"/>
  <c r="E27" i="6"/>
  <c r="E52" i="21"/>
  <c r="F52" i="21" s="1"/>
  <c r="E53" i="21"/>
  <c r="F53" i="21" s="1"/>
  <c r="E47" i="37"/>
  <c r="F47" i="37" s="1"/>
  <c r="E46" i="37"/>
  <c r="F46" i="37" s="1"/>
  <c r="K68" i="39"/>
  <c r="J70" i="39"/>
  <c r="H48" i="35"/>
  <c r="C50" i="34"/>
  <c r="C49" i="34"/>
  <c r="C48" i="21"/>
  <c r="C49" i="21"/>
  <c r="C42" i="37"/>
  <c r="C43" i="37"/>
  <c r="G46" i="36"/>
  <c r="E54" i="34"/>
  <c r="F54" i="34" s="1"/>
  <c r="E53" i="34"/>
  <c r="F53" i="34" s="1"/>
  <c r="C34" i="11"/>
  <c r="N16" i="1"/>
  <c r="D3" i="34"/>
  <c r="D3" i="33"/>
  <c r="B2" i="33" s="1"/>
  <c r="B3" i="33" s="1"/>
  <c r="E6" i="6"/>
  <c r="C17" i="4"/>
  <c r="B4" i="52" s="1"/>
  <c r="B43" i="72" s="1"/>
  <c r="L18" i="9"/>
  <c r="D3" i="37"/>
  <c r="B2" i="37" s="1"/>
  <c r="B3" i="37" s="1"/>
  <c r="D3" i="21"/>
  <c r="D19" i="11"/>
  <c r="C19" i="11" s="1"/>
  <c r="C24" i="11" s="1"/>
  <c r="D14" i="12"/>
  <c r="M18" i="9"/>
  <c r="B118" i="9" s="1"/>
  <c r="B14" i="74" s="1"/>
  <c r="B1" i="74" s="1"/>
  <c r="D37" i="11"/>
  <c r="C37" i="11" s="1"/>
  <c r="E66" i="39"/>
  <c r="P14" i="1"/>
  <c r="P16" i="1" s="1"/>
  <c r="C11" i="12" s="1"/>
  <c r="O16" i="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87" i="3"/>
  <c r="AY51" i="3"/>
  <c r="AY34" i="3"/>
  <c r="AY207" i="3"/>
  <c r="AY144" i="3"/>
  <c r="AY124" i="3"/>
  <c r="AY95" i="3"/>
  <c r="AY42" i="3"/>
  <c r="AY152" i="3"/>
  <c r="AY281" i="3"/>
  <c r="AY111" i="3"/>
  <c r="AY168" i="3"/>
  <c r="AY253" i="3"/>
  <c r="AY236" i="3"/>
  <c r="AY382" i="3"/>
  <c r="AY366"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66" i="3"/>
  <c r="AY176" i="3"/>
  <c r="AY115" i="3"/>
  <c r="AY188" i="3"/>
  <c r="AY276" i="3"/>
  <c r="AY297" i="3"/>
  <c r="AY225"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23" i="3"/>
  <c r="AY59" i="3"/>
  <c r="AY58" i="3"/>
  <c r="AY371"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34" i="40"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AY155" i="3"/>
  <c r="AY268" i="3"/>
  <c r="AY460" i="3"/>
  <c r="AY300" i="3"/>
  <c r="AY327" i="3"/>
  <c r="AY401" i="3"/>
  <c r="BE6" i="3"/>
  <c r="AY76" i="3"/>
  <c r="AY185" i="3"/>
  <c r="AY125" i="3"/>
  <c r="AY262" i="3"/>
  <c r="AY374" i="3"/>
  <c r="AY73" i="3"/>
  <c r="AY145" i="3"/>
  <c r="AY388" i="3"/>
  <c r="AY316" i="3"/>
  <c r="AY430" i="3"/>
  <c r="AY585" i="3"/>
  <c r="AY510"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BC6" i="3"/>
  <c r="AY511" i="3"/>
  <c r="AY504" i="3"/>
  <c r="AY586" i="3"/>
  <c r="AY498" i="3"/>
  <c r="AY83" i="3"/>
  <c r="AY131" i="3"/>
  <c r="AY303" i="3"/>
  <c r="AY529" i="3"/>
  <c r="AY217" i="3"/>
  <c r="AY463" i="3"/>
  <c r="AY544" i="3"/>
  <c r="AY92" i="3"/>
  <c r="AY33" i="3"/>
  <c r="AY165" i="3"/>
  <c r="AY278" i="3"/>
  <c r="AY219" i="3"/>
  <c r="BH6" i="3"/>
  <c r="AY202" i="3"/>
  <c r="AY259" i="3"/>
  <c r="AY333" i="3"/>
  <c r="AY472" i="3"/>
  <c r="AY411" i="3"/>
  <c r="AY571"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66" i="3"/>
  <c r="AY583" i="3"/>
  <c r="BT6" i="3"/>
  <c r="AY567" i="3"/>
  <c r="C44" i="11"/>
  <c r="D41" i="11" s="1"/>
  <c r="C23" i="11"/>
  <c r="C26" i="11"/>
  <c r="D22" i="11" s="1"/>
  <c r="F41" i="79"/>
  <c r="F41" i="78"/>
  <c r="F24" i="79" l="1"/>
  <c r="C24" i="79" s="1"/>
  <c r="F24" i="78"/>
  <c r="C24" i="78" s="1"/>
  <c r="F24" i="15"/>
  <c r="C24" i="15" s="1"/>
  <c r="F22" i="69"/>
  <c r="F22" i="68"/>
  <c r="J18" i="79"/>
  <c r="J26" i="78"/>
  <c r="J29" i="78" s="1"/>
  <c r="J18" i="67"/>
  <c r="L16" i="1"/>
  <c r="J24" i="78"/>
  <c r="J26" i="67"/>
  <c r="J29" i="67" s="1"/>
  <c r="C10" i="67"/>
  <c r="C5" i="67" s="1"/>
  <c r="C53" i="67"/>
  <c r="C48" i="67" s="1"/>
  <c r="J18" i="15"/>
  <c r="J24" i="15"/>
  <c r="J26" i="15"/>
  <c r="J29" i="15" s="1"/>
  <c r="C10" i="79"/>
  <c r="C5" i="79" s="1"/>
  <c r="C53" i="79"/>
  <c r="C48" i="79" s="1"/>
  <c r="C38" i="69"/>
  <c r="C35" i="69"/>
  <c r="J26" i="79"/>
  <c r="J29" i="79" s="1"/>
  <c r="D6" i="71"/>
  <c r="C5" i="71"/>
  <c r="D5" i="71" s="1"/>
  <c r="C53" i="15"/>
  <c r="C48" i="15" s="1"/>
  <c r="C10" i="15"/>
  <c r="C5" i="15" s="1"/>
  <c r="C33" i="15" s="1"/>
  <c r="C10" i="78"/>
  <c r="C5" i="78" s="1"/>
  <c r="C53" i="78"/>
  <c r="C48" i="78" s="1"/>
  <c r="B2" i="34"/>
  <c r="B3" i="34" s="1"/>
  <c r="G65" i="40"/>
  <c r="H63" i="40"/>
  <c r="H34" i="40"/>
  <c r="J34" i="40"/>
  <c r="F34" i="40"/>
  <c r="K21" i="6"/>
  <c r="K26" i="6"/>
  <c r="M26" i="6" s="1"/>
  <c r="I26" i="6" s="1"/>
  <c r="S26" i="6" s="1"/>
  <c r="K22" i="6"/>
  <c r="M22" i="6" s="1"/>
  <c r="I22" i="6" s="1"/>
  <c r="S22" i="6" s="1"/>
  <c r="E31" i="6"/>
  <c r="K24" i="6"/>
  <c r="M24" i="6" s="1"/>
  <c r="I24" i="6" s="1"/>
  <c r="S24" i="6" s="1"/>
  <c r="K19" i="6"/>
  <c r="K20" i="6"/>
  <c r="K25" i="6"/>
  <c r="M25" i="6" s="1"/>
  <c r="I25" i="6" s="1"/>
  <c r="S25" i="6" s="1"/>
  <c r="K23" i="6"/>
  <c r="M23" i="6" s="1"/>
  <c r="I23" i="6" s="1"/>
  <c r="S23" i="6" s="1"/>
  <c r="F69" i="78"/>
  <c r="F69" i="79"/>
  <c r="L68" i="39"/>
  <c r="K70" i="39"/>
  <c r="B2" i="21"/>
  <c r="B3" i="21" s="1"/>
  <c r="H46" i="36"/>
  <c r="I48" i="35"/>
  <c r="C8" i="74"/>
  <c r="C20" i="11"/>
  <c r="C25" i="11" s="1"/>
  <c r="C22" i="11" s="1"/>
  <c r="F50" i="69"/>
  <c r="F50" i="11"/>
  <c r="F50" i="68"/>
  <c r="C38" i="11"/>
  <c r="C35" i="11"/>
  <c r="M19" i="9"/>
  <c r="C118" i="9" s="1"/>
  <c r="C14" i="74" s="1"/>
  <c r="B2" i="74" s="1"/>
  <c r="D25" i="6"/>
  <c r="D15" i="6"/>
  <c r="D22" i="6"/>
  <c r="D21" i="6"/>
  <c r="D24" i="6"/>
  <c r="D20" i="6"/>
  <c r="D12" i="6"/>
  <c r="D11" i="6"/>
  <c r="D13" i="6"/>
  <c r="D28" i="6"/>
  <c r="E61" i="40"/>
  <c r="D19" i="6"/>
  <c r="D26" i="6"/>
  <c r="C18" i="4"/>
  <c r="D8" i="6"/>
  <c r="D23" i="6"/>
  <c r="D14" i="6"/>
  <c r="D5" i="6"/>
  <c r="D9" i="6"/>
  <c r="D10" i="6"/>
  <c r="L19" i="9"/>
  <c r="D29" i="6"/>
  <c r="D6" i="6"/>
  <c r="H25" i="6"/>
  <c r="C12" i="12"/>
  <c r="C15" i="12"/>
  <c r="D17" i="12"/>
  <c r="C17" i="12" s="1"/>
  <c r="C14" i="12"/>
  <c r="D10" i="68"/>
  <c r="D10" i="11"/>
  <c r="C10" i="11" s="1"/>
  <c r="D10" i="69"/>
  <c r="D20" i="12"/>
  <c r="C20" i="12" s="1"/>
  <c r="C18" i="12" s="1"/>
  <c r="C35" i="68"/>
  <c r="C38" i="68"/>
  <c r="C26" i="69" l="1"/>
  <c r="D22" i="69" s="1"/>
  <c r="C44" i="69"/>
  <c r="D41" i="69" s="1"/>
  <c r="C44" i="68"/>
  <c r="D41" i="68" s="1"/>
  <c r="C26" i="68"/>
  <c r="D22" i="68" s="1"/>
  <c r="C32" i="78"/>
  <c r="C33" i="78"/>
  <c r="C38" i="78"/>
  <c r="C60" i="15"/>
  <c r="C66" i="15"/>
  <c r="C60" i="79"/>
  <c r="C66" i="79"/>
  <c r="C32" i="67"/>
  <c r="C38" i="67"/>
  <c r="C66" i="78"/>
  <c r="C60" i="78"/>
  <c r="C32" i="15"/>
  <c r="C38" i="15"/>
  <c r="M20" i="43"/>
  <c r="C19" i="43" s="1"/>
  <c r="C32" i="79"/>
  <c r="C33" i="79"/>
  <c r="C38" i="79"/>
  <c r="C66" i="67"/>
  <c r="C60" i="67"/>
  <c r="H65" i="40"/>
  <c r="I63" i="40"/>
  <c r="H26" i="6"/>
  <c r="AC34" i="40"/>
  <c r="W34" i="40"/>
  <c r="AA34" i="40"/>
  <c r="S34" i="40"/>
  <c r="AB34" i="40"/>
  <c r="U34" i="40"/>
  <c r="H22" i="6"/>
  <c r="R22" i="6" s="1"/>
  <c r="R25" i="6"/>
  <c r="D16" i="6"/>
  <c r="M20" i="6"/>
  <c r="I20" i="6" s="1"/>
  <c r="S7" i="1"/>
  <c r="M21" i="6"/>
  <c r="I21" i="6" s="1"/>
  <c r="S8" i="1"/>
  <c r="R26" i="6"/>
  <c r="H24" i="6"/>
  <c r="R24" i="6" s="1"/>
  <c r="H23" i="6"/>
  <c r="R23" i="6" s="1"/>
  <c r="D30" i="6"/>
  <c r="K27" i="6"/>
  <c r="M19" i="6"/>
  <c r="S6" i="1"/>
  <c r="L70" i="39"/>
  <c r="M68" i="39"/>
  <c r="J48" i="35"/>
  <c r="K48" i="35" s="1"/>
  <c r="L48" i="35" s="1"/>
  <c r="M48" i="35" s="1"/>
  <c r="N48" i="35" s="1"/>
  <c r="O48" i="35" s="1"/>
  <c r="H7" i="35" s="1"/>
  <c r="I46" i="36"/>
  <c r="J46" i="36" s="1"/>
  <c r="K46" i="36" s="1"/>
  <c r="L46" i="36" s="1"/>
  <c r="M46" i="36" s="1"/>
  <c r="N46" i="36" s="1"/>
  <c r="O46" i="36" s="1"/>
  <c r="J7" i="36" s="1"/>
  <c r="C33" i="11"/>
  <c r="C42" i="11" s="1"/>
  <c r="C16" i="12"/>
  <c r="C21" i="12" s="1"/>
  <c r="D8" i="74"/>
  <c r="C28" i="11"/>
  <c r="C27" i="11" s="1"/>
  <c r="C31" i="11" s="1"/>
  <c r="C10" i="69"/>
  <c r="C8" i="69" s="1"/>
  <c r="C5" i="69" s="1"/>
  <c r="D19" i="69"/>
  <c r="C10" i="68"/>
  <c r="D19" i="68"/>
  <c r="A7" i="51"/>
  <c r="B7" i="72" s="1"/>
  <c r="C4" i="52"/>
  <c r="B45" i="72" s="1"/>
  <c r="A10" i="51"/>
  <c r="B9" i="72" s="1"/>
  <c r="D27" i="6"/>
  <c r="C17" i="67"/>
  <c r="C17" i="79"/>
  <c r="C17" i="15"/>
  <c r="C17" i="78"/>
  <c r="C14" i="67"/>
  <c r="C37" i="43" l="1"/>
  <c r="T13" i="43"/>
  <c r="V13" i="43" s="1"/>
  <c r="C35" i="43"/>
  <c r="T8" i="43"/>
  <c r="V8" i="43" s="1"/>
  <c r="C36" i="43"/>
  <c r="T2" i="43"/>
  <c r="V2" i="43" s="1"/>
  <c r="C29" i="43"/>
  <c r="T5" i="43"/>
  <c r="V5" i="43" s="1"/>
  <c r="C38" i="43"/>
  <c r="T6" i="43"/>
  <c r="V6" i="43" s="1"/>
  <c r="T3" i="43"/>
  <c r="V3" i="43" s="1"/>
  <c r="C39" i="43"/>
  <c r="T14" i="43"/>
  <c r="V14" i="43" s="1"/>
  <c r="T4" i="43"/>
  <c r="V4" i="43" s="1"/>
  <c r="C34" i="43"/>
  <c r="T11" i="43"/>
  <c r="V11" i="43" s="1"/>
  <c r="T10" i="43"/>
  <c r="V10" i="43" s="1"/>
  <c r="T12" i="43"/>
  <c r="V12" i="43" s="1"/>
  <c r="T7" i="43"/>
  <c r="V7" i="43" s="1"/>
  <c r="T9" i="43"/>
  <c r="V9" i="43" s="1"/>
  <c r="C33" i="43"/>
  <c r="T15" i="43"/>
  <c r="V15" i="43" s="1"/>
  <c r="T16" i="43"/>
  <c r="V16" i="43" s="1"/>
  <c r="H7" i="36"/>
  <c r="AB7" i="36" s="1"/>
  <c r="T36" i="36" s="1"/>
  <c r="G36" i="36" s="1"/>
  <c r="J63" i="40"/>
  <c r="I65" i="40"/>
  <c r="F7" i="36"/>
  <c r="AA7" i="36" s="1"/>
  <c r="R36" i="36" s="1"/>
  <c r="F7" i="35"/>
  <c r="S7" i="35" s="1"/>
  <c r="C18" i="67"/>
  <c r="C15" i="67"/>
  <c r="M27" i="6"/>
  <c r="I19" i="6"/>
  <c r="E8" i="70"/>
  <c r="AR8" i="1"/>
  <c r="AQ8" i="1"/>
  <c r="T8" i="1"/>
  <c r="AQ7" i="1"/>
  <c r="E7" i="70"/>
  <c r="AR7" i="1"/>
  <c r="T7" i="1"/>
  <c r="D31" i="6"/>
  <c r="I5" i="6" s="1"/>
  <c r="E6" i="70"/>
  <c r="AR6" i="1"/>
  <c r="S16" i="1"/>
  <c r="AQ6" i="1"/>
  <c r="T6" i="1"/>
  <c r="S21" i="6"/>
  <c r="H21" i="6"/>
  <c r="R21" i="6" s="1"/>
  <c r="R8" i="1" s="1"/>
  <c r="S20" i="6"/>
  <c r="H20" i="6"/>
  <c r="R20" i="6" s="1"/>
  <c r="R7" i="1" s="1"/>
  <c r="C39" i="11"/>
  <c r="C43" i="11" s="1"/>
  <c r="C41" i="11" s="1"/>
  <c r="AC7" i="36"/>
  <c r="V36" i="36" s="1"/>
  <c r="I36" i="36" s="1"/>
  <c r="W7" i="36"/>
  <c r="U7" i="36"/>
  <c r="U7" i="35"/>
  <c r="AB7" i="35"/>
  <c r="T38" i="35" s="1"/>
  <c r="G38" i="35" s="1"/>
  <c r="N68" i="39"/>
  <c r="M70" i="39"/>
  <c r="J7" i="35"/>
  <c r="S7" i="36"/>
  <c r="AA7" i="35"/>
  <c r="R38" i="35" s="1"/>
  <c r="C23" i="69"/>
  <c r="I6" i="6"/>
  <c r="C11" i="40" s="1"/>
  <c r="C19" i="68"/>
  <c r="D37" i="68"/>
  <c r="C37" i="68" s="1"/>
  <c r="C33" i="68" s="1"/>
  <c r="C19" i="69"/>
  <c r="C24" i="69" s="1"/>
  <c r="D37" i="69"/>
  <c r="C37" i="69" s="1"/>
  <c r="C33" i="69" s="1"/>
  <c r="C22" i="12"/>
  <c r="C30" i="12" s="1"/>
  <c r="C28" i="12" s="1"/>
  <c r="M21" i="78"/>
  <c r="C14" i="15"/>
  <c r="F35" i="79"/>
  <c r="C14" i="78"/>
  <c r="M21" i="79"/>
  <c r="C14" i="79"/>
  <c r="F35" i="67"/>
  <c r="M21" i="67"/>
  <c r="F35" i="78"/>
  <c r="E39" i="43" l="1"/>
  <c r="G39" i="43"/>
  <c r="I39" i="43" s="1"/>
  <c r="E33" i="43"/>
  <c r="G33" i="43"/>
  <c r="I33" i="43" s="1"/>
  <c r="E34" i="43"/>
  <c r="G34" i="43"/>
  <c r="I34" i="43" s="1"/>
  <c r="G38" i="43"/>
  <c r="I38" i="43" s="1"/>
  <c r="E38" i="43"/>
  <c r="C30" i="43"/>
  <c r="E30" i="43" s="1"/>
  <c r="E29" i="43"/>
  <c r="C26" i="43" s="1"/>
  <c r="E36" i="43"/>
  <c r="G36" i="43"/>
  <c r="I36" i="43" s="1"/>
  <c r="E35" i="43"/>
  <c r="G35" i="43"/>
  <c r="I35" i="43" s="1"/>
  <c r="E37" i="43"/>
  <c r="G37" i="43"/>
  <c r="I37" i="43" s="1"/>
  <c r="J65" i="40"/>
  <c r="K63" i="40"/>
  <c r="F11" i="40"/>
  <c r="J11" i="40"/>
  <c r="H11" i="40"/>
  <c r="C46" i="11"/>
  <c r="C45" i="11" s="1"/>
  <c r="C49" i="11" s="1"/>
  <c r="C51" i="11" s="1"/>
  <c r="C52" i="11" s="1"/>
  <c r="B2" i="11" s="1"/>
  <c r="B3" i="11" s="1"/>
  <c r="C19" i="67"/>
  <c r="C20" i="67" s="1"/>
  <c r="C26" i="67" s="1"/>
  <c r="J20" i="67"/>
  <c r="F63" i="67"/>
  <c r="C62" i="67" s="1"/>
  <c r="C34" i="67"/>
  <c r="E2" i="70"/>
  <c r="J20" i="79"/>
  <c r="F63" i="79"/>
  <c r="C62" i="79" s="1"/>
  <c r="C34" i="79"/>
  <c r="C31" i="79" s="1"/>
  <c r="C15" i="15"/>
  <c r="C18" i="15"/>
  <c r="C18" i="78"/>
  <c r="C15" i="78"/>
  <c r="C15" i="79"/>
  <c r="C18" i="79"/>
  <c r="T16" i="1"/>
  <c r="S19" i="6"/>
  <c r="S27" i="6" s="1"/>
  <c r="H19" i="6"/>
  <c r="I27" i="6"/>
  <c r="J20" i="78"/>
  <c r="F63" i="78"/>
  <c r="C62" i="78" s="1"/>
  <c r="C34" i="78"/>
  <c r="C31" i="78" s="1"/>
  <c r="E38" i="35"/>
  <c r="R39" i="35"/>
  <c r="G42" i="35"/>
  <c r="H42" i="35" s="1"/>
  <c r="G40" i="36"/>
  <c r="H40" i="36" s="1"/>
  <c r="G41" i="36"/>
  <c r="H41" i="36" s="1"/>
  <c r="R37" i="36"/>
  <c r="E36" i="36"/>
  <c r="I41" i="36" s="1"/>
  <c r="J41" i="36" s="1"/>
  <c r="W7" i="35"/>
  <c r="AC7" i="35"/>
  <c r="V38" i="35" s="1"/>
  <c r="I38" i="35" s="1"/>
  <c r="G43" i="35" s="1"/>
  <c r="H43" i="35" s="1"/>
  <c r="O68" i="39"/>
  <c r="O70" i="39" s="1"/>
  <c r="N70" i="39"/>
  <c r="I40" i="36"/>
  <c r="J40" i="36" s="1"/>
  <c r="C27" i="12"/>
  <c r="C25" i="12" s="1"/>
  <c r="C32" i="12" s="1"/>
  <c r="B2" i="12" s="1"/>
  <c r="B3" i="12" s="1"/>
  <c r="C24" i="68"/>
  <c r="C20" i="69"/>
  <c r="C39" i="69"/>
  <c r="C42" i="69"/>
  <c r="C39" i="68"/>
  <c r="C43" i="68" s="1"/>
  <c r="C42" i="68"/>
  <c r="B2" i="43" l="1"/>
  <c r="C27" i="43"/>
  <c r="J7" i="39"/>
  <c r="AC7" i="39" s="1"/>
  <c r="V47" i="39" s="1"/>
  <c r="I47" i="39" s="1"/>
  <c r="L63" i="40"/>
  <c r="K65" i="40"/>
  <c r="W11" i="40"/>
  <c r="AC11" i="40"/>
  <c r="AB11" i="40"/>
  <c r="U11" i="40"/>
  <c r="AA11" i="40"/>
  <c r="S11" i="40"/>
  <c r="C23" i="67"/>
  <c r="C29" i="67" s="1"/>
  <c r="C57" i="67" s="1"/>
  <c r="C19" i="78"/>
  <c r="C20" i="78" s="1"/>
  <c r="C26" i="78" s="1"/>
  <c r="C19" i="15"/>
  <c r="C20" i="15" s="1"/>
  <c r="C26" i="15" s="1"/>
  <c r="C19" i="79"/>
  <c r="C20" i="79" s="1"/>
  <c r="H27" i="6"/>
  <c r="R19" i="6"/>
  <c r="C36" i="36"/>
  <c r="C37" i="36"/>
  <c r="B2" i="36" s="1"/>
  <c r="B3" i="36" s="1"/>
  <c r="H7" i="39"/>
  <c r="C38" i="35"/>
  <c r="C39" i="35"/>
  <c r="B2" i="35" s="1"/>
  <c r="B3" i="35" s="1"/>
  <c r="I42" i="35"/>
  <c r="J42" i="35" s="1"/>
  <c r="I43" i="35"/>
  <c r="J43" i="35" s="1"/>
  <c r="E40" i="36"/>
  <c r="F40" i="36" s="1"/>
  <c r="E41" i="36"/>
  <c r="F41" i="36" s="1"/>
  <c r="F7" i="39"/>
  <c r="E43" i="35"/>
  <c r="F43" i="35" s="1"/>
  <c r="E42" i="35"/>
  <c r="F42" i="35" s="1"/>
  <c r="C41" i="68"/>
  <c r="C46" i="68"/>
  <c r="C45" i="68" s="1"/>
  <c r="C56" i="11"/>
  <c r="C57" i="11" s="1"/>
  <c r="C25" i="69"/>
  <c r="C22" i="69" s="1"/>
  <c r="C28" i="69"/>
  <c r="C27" i="69" s="1"/>
  <c r="C46" i="69"/>
  <c r="C45" i="69" s="1"/>
  <c r="C43" i="69"/>
  <c r="C41" i="69" s="1"/>
  <c r="B6" i="76"/>
  <c r="E6" i="76"/>
  <c r="E2" i="76" l="1"/>
  <c r="B2" i="76"/>
  <c r="B3" i="43"/>
  <c r="W7" i="39"/>
  <c r="M63" i="40"/>
  <c r="L65" i="40"/>
  <c r="C23" i="78"/>
  <c r="C29" i="78" s="1"/>
  <c r="C13" i="78" s="1"/>
  <c r="C75" i="78" s="1"/>
  <c r="J14" i="67"/>
  <c r="J22" i="67" s="1"/>
  <c r="Q49" i="67"/>
  <c r="J19" i="67"/>
  <c r="J17" i="67" s="1"/>
  <c r="C13" i="67"/>
  <c r="C56" i="67" s="1"/>
  <c r="C65" i="67" s="1"/>
  <c r="C36" i="67"/>
  <c r="C33" i="67"/>
  <c r="C31" i="67" s="1"/>
  <c r="J59" i="67"/>
  <c r="J60" i="67" s="1"/>
  <c r="Q48" i="67" s="1"/>
  <c r="C37" i="67"/>
  <c r="C61" i="67"/>
  <c r="C59" i="67" s="1"/>
  <c r="C64" i="67"/>
  <c r="C23" i="15"/>
  <c r="C29" i="15" s="1"/>
  <c r="C26" i="79"/>
  <c r="C23" i="79"/>
  <c r="R27" i="6"/>
  <c r="R6" i="1"/>
  <c r="AB7" i="39"/>
  <c r="T47" i="39" s="1"/>
  <c r="G47" i="39" s="1"/>
  <c r="U7" i="39"/>
  <c r="S7" i="39"/>
  <c r="AA7" i="39"/>
  <c r="R47" i="39" s="1"/>
  <c r="I51" i="39"/>
  <c r="J51" i="39" s="1"/>
  <c r="C31" i="69"/>
  <c r="C49" i="68"/>
  <c r="C51" i="68" s="1"/>
  <c r="C49" i="69"/>
  <c r="C51" i="69" s="1"/>
  <c r="C52" i="69" s="1"/>
  <c r="B2" i="69" s="1"/>
  <c r="B3" i="69" s="1"/>
  <c r="M21" i="15"/>
  <c r="F35" i="15"/>
  <c r="B3" i="76" l="1"/>
  <c r="N63" i="40"/>
  <c r="M65" i="40"/>
  <c r="C37" i="78"/>
  <c r="J19" i="78"/>
  <c r="J17" i="78" s="1"/>
  <c r="C36" i="78"/>
  <c r="C57" i="78"/>
  <c r="C61" i="78" s="1"/>
  <c r="C59" i="78" s="1"/>
  <c r="C56" i="78"/>
  <c r="C65" i="78" s="1"/>
  <c r="J14" i="78"/>
  <c r="J22" i="78" s="1"/>
  <c r="Q49" i="78"/>
  <c r="Q70" i="78"/>
  <c r="C13" i="15"/>
  <c r="C56" i="15" s="1"/>
  <c r="C65" i="15" s="1"/>
  <c r="J59" i="15"/>
  <c r="J60" i="15" s="1"/>
  <c r="Q48" i="15" s="1"/>
  <c r="C75" i="67"/>
  <c r="J13" i="67"/>
  <c r="J23" i="67" s="1"/>
  <c r="J16" i="67" s="1"/>
  <c r="J25" i="67" s="1"/>
  <c r="Q70" i="67"/>
  <c r="C30" i="67"/>
  <c r="C39" i="67" s="1"/>
  <c r="C40" i="67" s="1"/>
  <c r="C58" i="67"/>
  <c r="C67" i="67" s="1"/>
  <c r="C68" i="67" s="1"/>
  <c r="C71" i="67" s="1"/>
  <c r="C36" i="15"/>
  <c r="Q49" i="15"/>
  <c r="J19" i="15"/>
  <c r="J14" i="15"/>
  <c r="C57" i="15"/>
  <c r="C29" i="79"/>
  <c r="J20" i="15"/>
  <c r="F63" i="15"/>
  <c r="C62" i="15" s="1"/>
  <c r="C34" i="15"/>
  <c r="C31" i="15" s="1"/>
  <c r="R16" i="1"/>
  <c r="G51" i="39"/>
  <c r="H51" i="39" s="1"/>
  <c r="G52" i="39"/>
  <c r="H52" i="39" s="1"/>
  <c r="E47" i="39"/>
  <c r="R48" i="39"/>
  <c r="C57" i="69"/>
  <c r="C56" i="69" s="1"/>
  <c r="N65" i="40" l="1"/>
  <c r="O63" i="40"/>
  <c r="O65" i="40" s="1"/>
  <c r="C30" i="78"/>
  <c r="C39" i="78" s="1"/>
  <c r="C64" i="78"/>
  <c r="C58" i="78" s="1"/>
  <c r="C67" i="78" s="1"/>
  <c r="C68" i="78" s="1"/>
  <c r="C71" i="78" s="1"/>
  <c r="J13" i="78"/>
  <c r="J23" i="78" s="1"/>
  <c r="J16" i="78" s="1"/>
  <c r="J25" i="78" s="1"/>
  <c r="C75" i="15"/>
  <c r="C37" i="15"/>
  <c r="C30" i="15" s="1"/>
  <c r="C39" i="15" s="1"/>
  <c r="C40" i="15" s="1"/>
  <c r="C83" i="15" s="1"/>
  <c r="C82" i="15" s="1"/>
  <c r="Q70" i="15"/>
  <c r="C80" i="67"/>
  <c r="C79" i="67" s="1"/>
  <c r="Q69" i="67"/>
  <c r="Q68" i="67" s="1"/>
  <c r="C45" i="67"/>
  <c r="C46" i="67" s="1"/>
  <c r="L46" i="67"/>
  <c r="D2" i="67" s="1"/>
  <c r="Q47" i="67"/>
  <c r="Q53" i="67" s="1"/>
  <c r="C43" i="67"/>
  <c r="Q65" i="67"/>
  <c r="Q56" i="67"/>
  <c r="C83" i="67"/>
  <c r="C82" i="67" s="1"/>
  <c r="J17" i="15"/>
  <c r="C64" i="15"/>
  <c r="C61" i="15"/>
  <c r="C59" i="15" s="1"/>
  <c r="J13" i="15"/>
  <c r="J23" i="15" s="1"/>
  <c r="J22" i="15"/>
  <c r="C80" i="78"/>
  <c r="C79" i="78" s="1"/>
  <c r="C13" i="79"/>
  <c r="J14" i="79"/>
  <c r="C36" i="79"/>
  <c r="C57" i="79"/>
  <c r="Q49" i="79"/>
  <c r="J19" i="79"/>
  <c r="J17" i="79" s="1"/>
  <c r="L57" i="78"/>
  <c r="L60" i="78" s="1"/>
  <c r="Q66" i="78" s="1"/>
  <c r="C48" i="39"/>
  <c r="C47" i="39"/>
  <c r="E51" i="39"/>
  <c r="F51" i="39" s="1"/>
  <c r="E52" i="39"/>
  <c r="F52" i="39" s="1"/>
  <c r="I52" i="39"/>
  <c r="J52" i="39" s="1"/>
  <c r="L51" i="78"/>
  <c r="L51" i="67"/>
  <c r="F7" i="40" l="1"/>
  <c r="H7" i="40"/>
  <c r="J7" i="40"/>
  <c r="AA7" i="40"/>
  <c r="R42" i="40" s="1"/>
  <c r="S7" i="40"/>
  <c r="L57" i="67"/>
  <c r="L60" i="67" s="1"/>
  <c r="Q66" i="67" s="1"/>
  <c r="Q75" i="67" s="1"/>
  <c r="Q67" i="67"/>
  <c r="Q67" i="78"/>
  <c r="C40" i="78"/>
  <c r="C46" i="78" s="1"/>
  <c r="Q69" i="78"/>
  <c r="Q68" i="78" s="1"/>
  <c r="B2" i="67"/>
  <c r="B3" i="67"/>
  <c r="L46" i="78"/>
  <c r="C80" i="15"/>
  <c r="C79" i="15" s="1"/>
  <c r="Q69" i="15"/>
  <c r="Q68" i="15" s="1"/>
  <c r="J16" i="15"/>
  <c r="J25" i="15" s="1"/>
  <c r="C58" i="15"/>
  <c r="C67" i="15" s="1"/>
  <c r="C68" i="15" s="1"/>
  <c r="C71" i="15" s="1"/>
  <c r="C43" i="15"/>
  <c r="Q57" i="78"/>
  <c r="C75" i="79"/>
  <c r="C56" i="79"/>
  <c r="C65" i="79" s="1"/>
  <c r="C37" i="79"/>
  <c r="C30" i="79" s="1"/>
  <c r="C39" i="79" s="1"/>
  <c r="Q70" i="79"/>
  <c r="Q47" i="15"/>
  <c r="Q53" i="15" s="1"/>
  <c r="Q56" i="15"/>
  <c r="Q65" i="15"/>
  <c r="C64" i="79"/>
  <c r="C61" i="79"/>
  <c r="C59" i="79" s="1"/>
  <c r="J22" i="79"/>
  <c r="J13" i="79"/>
  <c r="J23" i="79" s="1"/>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AO7" i="1"/>
  <c r="L51" i="15"/>
  <c r="L51" i="79"/>
  <c r="W7" i="40" l="1"/>
  <c r="AC7" i="40"/>
  <c r="V42" i="40" s="1"/>
  <c r="I42" i="40" s="1"/>
  <c r="E42" i="40"/>
  <c r="AB7" i="40"/>
  <c r="T42" i="40" s="1"/>
  <c r="G42" i="40" s="1"/>
  <c r="U7" i="40"/>
  <c r="L57" i="15"/>
  <c r="L60" i="15" s="1"/>
  <c r="L46" i="15" s="1"/>
  <c r="B2" i="15" s="1"/>
  <c r="Q57" i="67"/>
  <c r="Q62" i="67" s="1"/>
  <c r="B2" i="78"/>
  <c r="B3" i="78" s="1"/>
  <c r="Q47" i="78"/>
  <c r="Q53" i="78" s="1"/>
  <c r="Q65" i="78"/>
  <c r="Q75" i="78" s="1"/>
  <c r="Q56" i="78"/>
  <c r="Q62" i="78" s="1"/>
  <c r="C83" i="78"/>
  <c r="C82" i="78" s="1"/>
  <c r="C43" i="78"/>
  <c r="Q67" i="15"/>
  <c r="C46" i="15"/>
  <c r="B7" i="70"/>
  <c r="J16" i="79"/>
  <c r="J25" i="79" s="1"/>
  <c r="Q67" i="79"/>
  <c r="L57" i="79"/>
  <c r="L60" i="79" s="1"/>
  <c r="C40" i="79"/>
  <c r="Q69" i="79"/>
  <c r="Q68" i="79" s="1"/>
  <c r="C80" i="79"/>
  <c r="C79" i="79" s="1"/>
  <c r="C58" i="79"/>
  <c r="C67" i="79" s="1"/>
  <c r="C68" i="79" s="1"/>
  <c r="AO6" i="1"/>
  <c r="E47" i="40" l="1"/>
  <c r="F47" i="40" s="1"/>
  <c r="E46" i="40"/>
  <c r="F46" i="40" s="1"/>
  <c r="I46" i="40"/>
  <c r="J46" i="40" s="1"/>
  <c r="I47" i="40"/>
  <c r="J47" i="40" s="1"/>
  <c r="G46" i="40"/>
  <c r="H46" i="40" s="1"/>
  <c r="G47" i="40"/>
  <c r="H47" i="40" s="1"/>
  <c r="R43" i="40"/>
  <c r="Q57" i="15"/>
  <c r="Q62" i="15" s="1"/>
  <c r="B6" i="70"/>
  <c r="B3" i="15"/>
  <c r="Q66" i="15"/>
  <c r="Q75" i="15" s="1"/>
  <c r="Q65" i="79"/>
  <c r="C43" i="79"/>
  <c r="Q56" i="79"/>
  <c r="Q47" i="79"/>
  <c r="Q53" i="79" s="1"/>
  <c r="C83" i="79"/>
  <c r="C82" i="79" s="1"/>
  <c r="C71" i="79"/>
  <c r="C46" i="79"/>
  <c r="L46" i="79"/>
  <c r="B2" i="79" s="1"/>
  <c r="Q66" i="79"/>
  <c r="Q57" i="79"/>
  <c r="AO8" i="1"/>
  <c r="C43" i="40" l="1"/>
  <c r="C42" i="40"/>
  <c r="Q62" i="79"/>
  <c r="B8" i="70"/>
  <c r="B2" i="70" s="1"/>
  <c r="Q75" i="79"/>
  <c r="B3" i="79"/>
  <c r="D19" i="9"/>
  <c r="B53" i="40" l="1"/>
  <c r="F53" i="40" s="1"/>
  <c r="B54" i="40"/>
  <c r="F54" i="40" s="1"/>
  <c r="B58" i="40"/>
  <c r="F58" i="40" s="1"/>
  <c r="B56" i="40"/>
  <c r="F56" i="40" s="1"/>
  <c r="B52" i="40"/>
  <c r="F52" i="40" s="1"/>
  <c r="B59" i="40"/>
  <c r="F59" i="40" s="1"/>
  <c r="B60" i="40"/>
  <c r="F60" i="40" s="1"/>
  <c r="B57" i="40"/>
  <c r="F57" i="40" s="1"/>
  <c r="B55" i="40"/>
  <c r="F55" i="40" s="1"/>
  <c r="B51" i="40"/>
  <c r="F51" i="40" s="1"/>
  <c r="D102" i="9"/>
  <c r="D21" i="9"/>
  <c r="B3" i="70"/>
  <c r="D20" i="9"/>
  <c r="F61" i="40" l="1"/>
  <c r="B2" i="40" s="1"/>
  <c r="B3" i="40" s="1"/>
  <c r="D103" i="9"/>
  <c r="C6" i="68" l="1"/>
  <c r="C7" i="68" s="1"/>
  <c r="C5" i="68" s="1"/>
  <c r="C23" i="68" s="1"/>
  <c r="C20" i="68" l="1"/>
  <c r="C25" i="68" s="1"/>
  <c r="C22" i="68" s="1"/>
  <c r="C28" i="68" l="1"/>
  <c r="C27" i="68" s="1"/>
  <c r="C31" i="68" s="1"/>
  <c r="C52" i="68" s="1"/>
  <c r="C57" i="68" s="1"/>
  <c r="C56" i="68" s="1"/>
  <c r="B2" i="68" l="1"/>
  <c r="B3" i="68" s="1"/>
  <c r="C19" i="9"/>
  <c r="D35" i="9"/>
  <c r="D34" i="9"/>
  <c r="C20" i="9"/>
  <c r="D22" i="9" l="1"/>
  <c r="C21" i="9"/>
  <c r="C102" i="9"/>
  <c r="G19" i="9"/>
  <c r="G21" i="9" s="1"/>
  <c r="C103" i="9"/>
  <c r="G20" i="9"/>
  <c r="C32" i="9" l="1"/>
  <c r="H118" i="9" s="1"/>
  <c r="C35" i="9" l="1"/>
  <c r="F118" i="9" s="1"/>
  <c r="G118" i="9" s="1"/>
  <c r="G4" i="52" s="1"/>
  <c r="B52" i="72" s="1"/>
  <c r="H4" i="52"/>
  <c r="H119" i="9"/>
  <c r="H5" i="52" s="1"/>
  <c r="I118" i="9"/>
  <c r="C104" i="9"/>
  <c r="H101" i="9"/>
  <c r="D14" i="74"/>
  <c r="F4" i="52" l="1"/>
  <c r="B51" i="72" s="1"/>
  <c r="F119" i="9"/>
  <c r="F5" i="52" s="1"/>
  <c r="B53" i="72" s="1"/>
  <c r="C34" i="9"/>
  <c r="D118" i="9" s="1"/>
  <c r="E14" i="74"/>
  <c r="F14" i="74"/>
  <c r="B5" i="74"/>
  <c r="M48" i="9"/>
  <c r="D45" i="9"/>
  <c r="H109" i="9"/>
  <c r="D5" i="53"/>
  <c r="H107" i="9"/>
  <c r="I4" i="52"/>
  <c r="H102" i="9"/>
  <c r="D7" i="53" s="1"/>
  <c r="B21" i="72" s="1"/>
  <c r="C105" i="9"/>
  <c r="E118" i="9"/>
  <c r="E4" i="52" s="1"/>
  <c r="B48" i="72" s="1"/>
  <c r="D4" i="52" l="1"/>
  <c r="B47" i="72" s="1"/>
  <c r="D119" i="9"/>
  <c r="D5" i="52" s="1"/>
  <c r="B49" i="72" s="1"/>
  <c r="D6" i="53"/>
  <c r="B22" i="72" s="1"/>
  <c r="B20" i="72"/>
  <c r="C64" i="9"/>
  <c r="C63" i="9" s="1"/>
  <c r="C67" i="9" s="1"/>
  <c r="C68" i="9" s="1"/>
  <c r="D54" i="9" s="1"/>
  <c r="D55" i="9"/>
  <c r="M53" i="9" s="1"/>
  <c r="D52" i="9"/>
  <c r="C78" i="9"/>
  <c r="C73" i="9" s="1"/>
  <c r="C93" i="9"/>
  <c r="C86" i="9" s="1"/>
  <c r="D53" i="9"/>
  <c r="C85" i="9"/>
  <c r="C72" i="9"/>
  <c r="C5" i="74"/>
  <c r="D5" i="74"/>
  <c r="D13" i="53"/>
  <c r="H108" i="9"/>
  <c r="D15" i="53" s="1"/>
  <c r="B31" i="72" s="1"/>
  <c r="D122" i="9"/>
  <c r="M49" i="9"/>
  <c r="H110" i="9"/>
  <c r="D18" i="53" s="1"/>
  <c r="B35" i="72" s="1"/>
  <c r="D124" i="9"/>
  <c r="D16" i="53"/>
  <c r="C79" i="9" l="1"/>
  <c r="C80" i="9" s="1"/>
  <c r="E80" i="9" s="1"/>
  <c r="E81" i="9" s="1"/>
  <c r="C95" i="9"/>
  <c r="B34" i="72"/>
  <c r="D17" i="53"/>
  <c r="B36" i="72" s="1"/>
  <c r="D8" i="52"/>
  <c r="D123" i="9"/>
  <c r="D9" i="52" s="1"/>
  <c r="G14" i="74"/>
  <c r="B6" i="74" s="1"/>
  <c r="D14" i="53"/>
  <c r="B32" i="72" s="1"/>
  <c r="B30" i="72"/>
  <c r="C96" i="9"/>
  <c r="E96" i="9" s="1"/>
  <c r="E97" i="9" s="1"/>
  <c r="D125" i="9"/>
  <c r="D11" i="52" s="1"/>
  <c r="D10" i="52"/>
  <c r="H14" i="74"/>
  <c r="B7" i="74" s="1"/>
  <c r="L68" i="9"/>
  <c r="M68" i="9" s="1"/>
  <c r="L65" i="9"/>
  <c r="M65" i="9" s="1"/>
  <c r="L66" i="9"/>
  <c r="M66" i="9" s="1"/>
  <c r="L64" i="9"/>
  <c r="M64" i="9" s="1"/>
  <c r="L63" i="9"/>
  <c r="M63" i="9" s="1"/>
  <c r="L67" i="9"/>
  <c r="M67" i="9" s="1"/>
  <c r="C81" i="9" l="1"/>
  <c r="M69" i="9"/>
  <c r="N69" i="9" s="1"/>
  <c r="C97" i="9"/>
  <c r="D58" i="9" s="1"/>
  <c r="D56" i="9" s="1"/>
  <c r="M54" i="9" s="1"/>
  <c r="N57" i="9" s="1"/>
  <c r="N59" i="9" s="1"/>
  <c r="N61" i="9" s="1"/>
  <c r="D6" i="74"/>
  <c r="C6" i="74"/>
  <c r="C7" i="74"/>
  <c r="D7" i="74"/>
  <c r="P57" i="9" l="1"/>
  <c r="N60" i="9"/>
  <c r="N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<sst xmlns="http://schemas.openxmlformats.org/spreadsheetml/2006/main" count="35920" uniqueCount="7088">
  <si>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</si>
  <si>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</si>
  <si>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</si>
  <si>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</si>
  <si>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</si>
  <si>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</si>
  <si>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</si>
  <si>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</si>
  <si>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</si>
  <si>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</si>
  <si>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</si>
  <si>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</si>
  <si>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</si>
  <si>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</si>
  <si>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</si>
  <si>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</si>
  <si>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</si>
  <si>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</si>
  <si>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</si>
  <si>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</si>
  <si>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</si>
  <si>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</si>
  <si>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</si>
  <si>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</si>
  <si>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</si>
  <si>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</si>
  <si>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</si>
  <si>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</si>
  <si>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</si>
  <si>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</si>
  <si>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</si>
  <si>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</si>
  <si>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</si>
  <si>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</si>
  <si>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</si>
  <si>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</si>
  <si>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</si>
  <si>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</si>
  <si>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</si>
  <si>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</si>
  <si>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</si>
  <si>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</si>
  <si>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</si>
  <si>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</si>
  <si>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</si>
  <si>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</si>
  <si>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</si>
  <si>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</si>
  <si>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</si>
  <si>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</si>
  <si>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</si>
  <si>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</si>
  <si>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</si>
  <si>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</si>
  <si>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</si>
  <si>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</si>
  <si>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</si>
  <si>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</si>
  <si>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</si>
  <si>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</si>
  <si>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</si>
  <si>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</si>
  <si>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</si>
  <si>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</si>
  <si>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</si>
  <si>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</si>
  <si>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</si>
  <si>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</si>
  <si>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</si>
  <si>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</si>
  <si>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</si>
  <si>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</si>
  <si>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</si>
  <si>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</si>
  <si>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</si>
  <si>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</si>
  <si>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</si>
  <si>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</si>
  <si>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</si>
  <si>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</si>
  <si>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</si>
  <si>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</si>
  <si>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</si>
  <si>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</si>
  <si>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</si>
  <si>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</si>
  <si>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</si>
  <si>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</si>
  <si>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</si>
  <si>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</si>
  <si>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</si>
  <si>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</si>
  <si>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</si>
  <si>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</si>
  <si>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</si>
  <si>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</si>
  <si>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</si>
  <si>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</si>
  <si>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</si>
  <si>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</si>
  <si>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</si>
  <si>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</si>
  <si>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</si>
  <si>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</si>
  <si>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</si>
  <si>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</si>
  <si>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</si>
  <si>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</si>
  <si>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</si>
  <si>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</si>
  <si>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</si>
  <si>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</si>
  <si>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</si>
  <si>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</si>
  <si>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</si>
  <si>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</si>
  <si>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</si>
  <si>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</si>
  <si>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</si>
  <si>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</si>
  <si>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</si>
  <si>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</si>
  <si>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</si>
  <si>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</si>
  <si>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</si>
  <si>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</si>
  <si>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</si>
  <si>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</si>
  <si>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</si>
  <si>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</si>
  <si>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</si>
  <si>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</si>
  <si>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</si>
  <si>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</si>
  <si>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</si>
  <si>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</si>
  <si>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</si>
  <si>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</si>
  <si>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</si>
  <si>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</si>
  <si>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</si>
  <si>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</si>
  <si>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</si>
  <si>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</si>
  <si>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</si>
  <si>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</si>
  <si>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</si>
  <si>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</si>
  <si>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</si>
  <si>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</si>
  <si>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</si>
  <si>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</si>
  <si>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</si>
  <si>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</si>
  <si>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</si>
  <si>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</si>
  <si>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</si>
  <si>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</si>
  <si>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</si>
  <si>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</si>
  <si>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</si>
  <si>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</si>
  <si>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</si>
  <si>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</si>
  <si>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</si>
  <si>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</si>
  <si>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</si>
  <si>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</si>
  <si>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</si>
  <si>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</si>
  <si>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</si>
  <si>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</si>
  <si>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</si>
  <si>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</si>
  <si>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</si>
  <si>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</si>
  <si>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</si>
  <si>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</si>
  <si>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</si>
  <si>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</si>
  <si>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</si>
  <si>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</si>
  <si>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</si>
  <si>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</si>
  <si>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</si>
  <si>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</si>
  <si>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</si>
  <si>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</si>
  <si>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</si>
  <si>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</si>
  <si>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</si>
  <si>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</si>
  <si>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</si>
  <si>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</si>
  <si>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</si>
  <si>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</si>
  <si>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</si>
  <si>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</si>
  <si>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</si>
  <si>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</si>
  <si>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</si>
  <si>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</si>
  <si>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</si>
  <si>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</si>
  <si>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</si>
  <si>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</si>
  <si>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</si>
  <si>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</si>
  <si>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</si>
  <si>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</si>
  <si>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</si>
  <si>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</si>
  <si>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</si>
  <si>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</si>
  <si>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</si>
  <si>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</si>
  <si>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</si>
  <si>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</si>
  <si>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</si>
  <si>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</si>
  <si>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</si>
  <si>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</si>
  <si>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</si>
  <si>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</si>
  <si>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</si>
  <si>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</si>
  <si>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</si>
  <si>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</si>
  <si>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</si>
  <si>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</si>
  <si>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</si>
  <si>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</si>
  <si>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</si>
  <si>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</si>
  <si>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</si>
  <si>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</si>
  <si>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</si>
  <si>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</si>
  <si>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</si>
  <si>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</si>
  <si>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</si>
  <si>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</si>
  <si>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</si>
  <si>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</si>
  <si>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</si>
  <si>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</si>
  <si>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</si>
  <si>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</si>
  <si>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</si>
  <si>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</si>
  <si>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</si>
  <si>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</si>
  <si>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</si>
  <si>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</si>
  <si>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</si>
  <si>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</si>
  <si>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</si>
  <si>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</si>
  <si>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</si>
  <si>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</si>
  <si>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</si>
  <si>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</si>
  <si>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</si>
  <si>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</si>
  <si>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</si>
  <si>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</si>
  <si>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</si>
  <si>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</si>
  <si>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</si>
  <si>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</si>
  <si>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</si>
  <si>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</si>
  <si>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</si>
  <si>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</si>
  <si>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</si>
  <si>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</si>
  <si>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</si>
  <si>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</si>
  <si>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</si>
  <si>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</si>
  <si>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</si>
  <si>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</si>
  <si>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</si>
  <si>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</si>
  <si>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</si>
  <si>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</si>
  <si>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</si>
  <si>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</si>
  <si>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</si>
  <si>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</si>
  <si>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</si>
  <si>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</si>
  <si>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</si>
  <si>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</si>
  <si>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</si>
  <si>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</si>
  <si>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</si>
  <si>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</si>
  <si>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</si>
  <si>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</si>
  <si>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</si>
  <si>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</si>
  <si>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</si>
  <si>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</si>
  <si>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</si>
  <si>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</si>
  <si>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</si>
  <si>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</si>
  <si>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</si>
  <si>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</si>
  <si>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</si>
  <si>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</si>
  <si>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</si>
  <si>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</si>
  <si>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</si>
  <si>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</si>
  <si>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</si>
  <si>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</si>
  <si>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</si>
  <si>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</si>
  <si>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</si>
  <si>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</si>
  <si>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</si>
  <si>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</si>
  <si>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</si>
  <si>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</si>
  <si>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</si>
  <si>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</si>
  <si>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</si>
  <si>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</si>
  <si>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</si>
  <si>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</si>
  <si>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</si>
  <si>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</si>
  <si>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</si>
  <si>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</si>
  <si>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</si>
  <si>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</si>
  <si>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</si>
  <si>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</si>
  <si>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</si>
  <si>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</si>
  <si>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</si>
  <si>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</si>
  <si>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</si>
  <si>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</si>
  <si>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</si>
  <si>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</si>
  <si>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</si>
  <si>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</si>
  <si>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</si>
  <si>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</si>
  <si>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</si>
  <si>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</si>
  <si>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</si>
  <si>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</si>
  <si>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</si>
  <si>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</si>
  <si>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</si>
  <si>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</si>
  <si>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</si>
  <si>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</si>
  <si>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</si>
  <si>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</si>
  <si>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</si>
  <si>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</si>
  <si>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</si>
  <si>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</si>
  <si>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</si>
  <si>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</si>
  <si>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</si>
  <si>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</si>
  <si>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</si>
  <si>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</si>
  <si>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</si>
  <si>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</si>
  <si>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</si>
  <si>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</si>
  <si>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</si>
  <si>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</si>
  <si>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</si>
  <si>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</si>
  <si>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</si>
  <si>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</si>
  <si>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</si>
  <si>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</si>
  <si>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</si>
  <si>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</si>
  <si>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</si>
  <si>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</si>
  <si>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</si>
  <si>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</si>
  <si>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</si>
  <si>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</si>
  <si>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</si>
  <si>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</si>
  <si>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</si>
  <si>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</si>
  <si>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</si>
  <si>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</si>
  <si>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</si>
  <si>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</si>
  <si>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</si>
  <si>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</si>
  <si>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</si>
  <si>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</si>
  <si>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</si>
  <si>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</si>
  <si>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</si>
  <si>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</si>
  <si>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</si>
  <si>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</si>
  <si>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</si>
  <si>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</si>
  <si>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</si>
  <si>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</si>
  <si>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</si>
  <si>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</si>
  <si>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</si>
  <si>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</si>
  <si>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</si>
  <si>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</si>
  <si>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</si>
  <si>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</si>
  <si>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</si>
  <si>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</si>
  <si>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</si>
  <si>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</si>
  <si>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</si>
  <si>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</si>
  <si>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</si>
  <si>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</si>
  <si>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</si>
  <si>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</si>
  <si>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</si>
  <si>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</si>
  <si>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</si>
  <si>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</si>
  <si>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</si>
  <si>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</si>
  <si>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</si>
  <si>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</si>
  <si>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</si>
  <si>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</si>
  <si>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</si>
  <si>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</si>
  <si>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</si>
  <si>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</si>
  <si>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</si>
  <si>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</si>
  <si>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</si>
  <si>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</si>
  <si>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</si>
  <si>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</si>
  <si>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</si>
  <si>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</si>
  <si>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</si>
  <si>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</si>
  <si>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</si>
  <si>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</si>
  <si>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</si>
  <si>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</si>
  <si>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</si>
  <si>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</si>
  <si>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</si>
  <si>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</si>
  <si>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</si>
  <si>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</si>
  <si>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</si>
  <si>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</si>
  <si>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</si>
  <si>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</si>
  <si>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</si>
  <si>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</si>
  <si>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</si>
  <si>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</si>
  <si>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</si>
  <si>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</si>
  <si>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</si>
  <si>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</si>
  <si>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</si>
  <si>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</si>
  <si>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</si>
  <si>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</si>
  <si>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</si>
  <si>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</si>
  <si>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</si>
  <si>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</si>
  <si>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</si>
  <si>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</si>
  <si>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</si>
  <si>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</si>
  <si>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</si>
  <si>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</si>
  <si>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</si>
  <si>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</si>
  <si>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</si>
  <si>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</si>
  <si>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</si>
  <si>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</si>
  <si>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</si>
  <si>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</si>
  <si>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</si>
  <si>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</si>
  <si>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</si>
  <si>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</si>
  <si>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</si>
  <si>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</si>
  <si>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</si>
  <si>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</si>
  <si>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</si>
  <si>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</si>
  <si>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</si>
  <si>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</si>
  <si>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</si>
  <si>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</si>
  <si>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</si>
  <si>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</si>
  <si>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</si>
  <si>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</si>
  <si>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</si>
  <si>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</si>
  <si>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</si>
  <si>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</si>
  <si>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</si>
  <si>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</si>
  <si>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</si>
  <si>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</si>
  <si>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</si>
  <si>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</si>
  <si>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</si>
  <si>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</si>
  <si>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</si>
  <si>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</si>
  <si>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</si>
  <si>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</si>
  <si>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</si>
  <si>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</si>
  <si>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</si>
  <si>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</si>
  <si>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</si>
  <si>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</si>
  <si>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</si>
  <si>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</si>
  <si>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</si>
  <si>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</si>
  <si>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</si>
  <si>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</si>
  <si>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</si>
  <si>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</si>
  <si>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</si>
  <si>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</si>
  <si>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</si>
  <si>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</si>
  <si>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</si>
  <si>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</si>
  <si>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</si>
  <si>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</si>
  <si>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</si>
  <si>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</si>
  <si>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</si>
  <si>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</si>
  <si>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</si>
  <si>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</si>
  <si>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</si>
  <si>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</si>
  <si>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</si>
  <si>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</si>
  <si>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</si>
  <si>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</si>
  <si>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</si>
  <si>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</si>
  <si>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</si>
  <si>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</si>
  <si>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</si>
  <si>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</si>
  <si>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</si>
  <si>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</si>
  <si>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</si>
  <si>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</si>
  <si>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</si>
  <si>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</si>
  <si>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</si>
  <si>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</si>
  <si>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</si>
  <si>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</si>
  <si>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</si>
  <si>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</si>
  <si>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</si>
  <si>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</si>
  <si>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</si>
  <si>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</si>
  <si>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</si>
  <si>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</si>
  <si>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</si>
  <si>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</si>
  <si>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</si>
  <si>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</si>
  <si>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</si>
  <si>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</si>
  <si>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</si>
  <si>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</si>
  <si>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</si>
  <si>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</si>
  <si>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</si>
  <si>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</si>
  <si>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</si>
  <si>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</si>
  <si>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</si>
  <si>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</si>
  <si>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</si>
  <si>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</si>
  <si>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</si>
  <si>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</si>
  <si>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</si>
  <si>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</si>
  <si>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</si>
  <si>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</si>
  <si>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</si>
  <si>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</si>
  <si>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</si>
  <si>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</si>
  <si>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</si>
  <si>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</si>
  <si>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</si>
  <si>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</si>
  <si>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</si>
  <si>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</si>
  <si>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</si>
  <si>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</si>
  <si>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</si>
  <si>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</si>
  <si>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</si>
  <si>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</si>
  <si>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</si>
  <si>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</si>
  <si>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</si>
  <si>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</si>
  <si>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</si>
  <si>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</si>
  <si>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</si>
  <si>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</si>
  <si>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</si>
  <si>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</si>
  <si>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</si>
  <si>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</si>
  <si>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</si>
  <si>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</si>
  <si>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</si>
  <si>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</si>
  <si>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</si>
  <si>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</si>
  <si>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</si>
  <si>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</si>
  <si>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</si>
  <si>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</si>
  <si>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</si>
  <si>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</si>
  <si>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</si>
  <si>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</si>
  <si>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</si>
  <si>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</si>
  <si>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</si>
  <si>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</si>
  <si>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</si>
  <si>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</si>
  <si>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</si>
  <si>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</si>
  <si>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</si>
  <si>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</si>
  <si>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</si>
  <si>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</si>
  <si>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</si>
  <si>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</si>
  <si>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</si>
  <si>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</si>
  <si>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</si>
  <si>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</si>
  <si>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</si>
  <si>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</si>
  <si>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</si>
  <si>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</si>
  <si>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</si>
  <si>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</si>
  <si>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</si>
  <si>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</si>
  <si>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</si>
  <si>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</si>
  <si>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</si>
  <si>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</si>
  <si>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</si>
  <si>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</si>
  <si>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</si>
  <si>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</si>
  <si>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</si>
  <si>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</si>
  <si>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</si>
  <si>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</si>
  <si>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</si>
  <si>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</si>
  <si>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</si>
  <si>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</si>
  <si>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</si>
  <si>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</si>
  <si>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</si>
  <si>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</si>
  <si>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</si>
  <si>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</si>
  <si>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</si>
  <si>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</si>
  <si>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</si>
  <si>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</si>
  <si>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</si>
  <si>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</si>
  <si>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</si>
  <si>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</si>
  <si>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</si>
  <si>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</si>
  <si>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</si>
  <si>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</si>
  <si>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</si>
  <si>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</si>
  <si>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</si>
  <si>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</si>
  <si>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</si>
  <si>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</si>
  <si>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</si>
  <si>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</si>
  <si>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</si>
  <si>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</si>
  <si>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</si>
  <si>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</si>
  <si>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</si>
  <si>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</si>
  <si>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</si>
  <si>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</si>
  <si>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</si>
  <si>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</si>
  <si>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</si>
  <si>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</si>
  <si>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</si>
  <si>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</si>
  <si>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</si>
  <si>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</si>
  <si>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</si>
  <si>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</si>
  <si>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</si>
  <si>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</si>
  <si>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</si>
  <si>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</si>
  <si>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</si>
  <si>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</si>
  <si>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</si>
  <si>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</si>
  <si>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</si>
  <si>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</si>
  <si>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</si>
  <si>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</si>
  <si>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</si>
  <si>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</si>
  <si>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</si>
  <si>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</si>
  <si>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</si>
  <si>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</si>
  <si>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</si>
  <si>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</si>
  <si>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</si>
  <si>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</si>
  <si>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</si>
  <si>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</si>
  <si>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</si>
  <si>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</si>
  <si>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</si>
  <si>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</si>
  <si>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</si>
  <si>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</si>
  <si>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</si>
  <si>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</si>
  <si>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</si>
  <si>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</si>
  <si>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</si>
  <si>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</si>
  <si>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</si>
  <si>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</si>
  <si>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</si>
  <si>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</si>
  <si>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</si>
  <si>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</si>
  <si>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</si>
  <si>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</si>
  <si>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</si>
  <si>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</si>
  <si>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</si>
  <si>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</si>
  <si>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</si>
  <si>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</si>
  <si>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</si>
  <si>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</si>
  <si>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</si>
  <si>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</si>
  <si>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</si>
  <si>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</si>
  <si>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</si>
  <si>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</si>
  <si>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</si>
  <si>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</si>
  <si>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</si>
  <si>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</si>
  <si>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</si>
  <si>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</si>
  <si>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</si>
  <si>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</si>
  <si>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</si>
  <si>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</si>
  <si>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</si>
  <si>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</si>
  <si>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</si>
  <si>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</si>
  <si>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</si>
  <si>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</si>
  <si>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</si>
  <si>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</si>
  <si>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</si>
  <si>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</si>
  <si>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</si>
  <si>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</si>
  <si>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</si>
  <si>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</si>
  <si>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</si>
  <si>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</si>
  <si>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</si>
  <si>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</si>
  <si>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</si>
  <si>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</si>
  <si>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</si>
  <si>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</si>
  <si>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</si>
  <si>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</si>
  <si>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</si>
  <si>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</si>
  <si>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</si>
  <si>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</si>
  <si>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</si>
  <si>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</si>
  <si>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</si>
  <si>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</si>
  <si>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</si>
  <si>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</si>
  <si>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</si>
  <si>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</si>
  <si>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</si>
  <si>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</si>
  <si>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</si>
  <si>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</si>
  <si>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</si>
  <si>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</si>
  <si>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</si>
  <si>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</si>
  <si>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</si>
  <si>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</si>
  <si>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</si>
  <si>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</si>
  <si>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</si>
  <si>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</si>
  <si>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</si>
  <si>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</si>
  <si>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</si>
  <si>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</si>
  <si>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</si>
  <si>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</si>
  <si>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</si>
  <si>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</si>
  <si>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</si>
  <si>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</si>
  <si>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</si>
  <si>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</si>
  <si>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</si>
  <si>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</si>
  <si>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</si>
  <si>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</si>
  <si>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</si>
  <si>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</si>
  <si>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</si>
  <si>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</si>
  <si>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</si>
  <si>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</si>
  <si>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</si>
  <si>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</si>
  <si>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</si>
  <si>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</si>
  <si>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</si>
  <si>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</si>
  <si>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</si>
  <si>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</si>
  <si>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</si>
  <si>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</si>
  <si>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</si>
  <si>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</si>
  <si>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</si>
  <si>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</si>
  <si>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</si>
  <si>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</si>
  <si>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</si>
  <si>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</si>
  <si>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</si>
  <si>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</si>
  <si>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</si>
  <si>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</si>
  <si>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</si>
  <si>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</si>
  <si>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</si>
  <si>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</si>
  <si>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</si>
  <si>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</si>
  <si>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</si>
  <si>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</si>
  <si>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</si>
  <si>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</si>
  <si>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</si>
  <si>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</si>
  <si>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</si>
  <si>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</si>
  <si>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</si>
  <si>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</si>
  <si>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</si>
  <si>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</si>
  <si>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</si>
  <si>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</si>
  <si>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</si>
  <si>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</si>
  <si>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</si>
  <si>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</si>
  <si>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</si>
  <si>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</si>
  <si>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</si>
  <si>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</si>
  <si>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</si>
  <si>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</si>
  <si>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</si>
  <si>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</si>
  <si>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</si>
  <si>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</si>
  <si>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</si>
  <si>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</si>
  <si>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</si>
  <si>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</si>
  <si>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</si>
  <si>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</si>
  <si>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</si>
  <si>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</si>
  <si>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</si>
  <si>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</si>
  <si>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</si>
  <si>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</si>
  <si>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</si>
  <si>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</si>
  <si>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</si>
  <si>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</si>
  <si>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</si>
  <si>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</si>
  <si>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</si>
  <si>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</si>
  <si>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</si>
  <si>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</si>
  <si>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</si>
  <si>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</si>
  <si>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</si>
  <si>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</si>
  <si>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</si>
  <si>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</si>
  <si>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</si>
  <si>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</si>
  <si>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</si>
  <si>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</si>
  <si>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</si>
  <si>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</si>
  <si>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</si>
  <si>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</si>
  <si>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</si>
  <si>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</si>
  <si>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</si>
  <si>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</si>
  <si>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</si>
  <si>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</si>
  <si>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</si>
  <si>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</si>
  <si>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</si>
  <si>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</si>
  <si>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</si>
  <si>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</si>
  <si>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</si>
  <si>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</si>
  <si>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</si>
  <si>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</si>
  <si>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</si>
  <si>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</si>
  <si>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</si>
  <si>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</si>
  <si>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</si>
  <si>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</si>
  <si>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</si>
  <si>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</si>
  <si>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</si>
  <si>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</si>
  <si>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</si>
  <si>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</si>
  <si>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</si>
  <si>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</si>
  <si>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</si>
  <si>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</si>
  <si>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</si>
  <si>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</si>
  <si>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</si>
  <si>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</si>
  <si>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</si>
  <si>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</si>
  <si>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</si>
  <si>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</si>
  <si>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</si>
  <si>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</si>
  <si>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</si>
  <si>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</si>
  <si>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</si>
  <si>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</si>
  <si>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</si>
  <si>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</si>
  <si>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</si>
  <si>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</si>
  <si>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</si>
  <si>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</si>
  <si>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</si>
  <si>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</si>
  <si>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</si>
  <si>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</si>
  <si>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</si>
  <si>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</si>
  <si>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</si>
  <si>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</si>
  <si>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</si>
  <si>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</si>
  <si>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</si>
  <si>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</si>
  <si>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</si>
  <si>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</si>
  <si>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</si>
  <si>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</si>
  <si>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</si>
  <si>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</si>
  <si>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</si>
  <si>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</si>
  <si>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</si>
  <si>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</si>
  <si>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</si>
  <si>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</si>
  <si>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</si>
  <si>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</si>
  <si>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</si>
  <si>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</si>
  <si>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</si>
  <si>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</si>
  <si>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</si>
  <si>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</si>
  <si>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</si>
  <si>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</si>
  <si>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</si>
  <si>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</si>
  <si>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</si>
  <si>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</si>
  <si>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</si>
  <si>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</si>
  <si>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</si>
  <si>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</si>
  <si>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</si>
  <si>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</si>
  <si>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</si>
  <si>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</si>
  <si>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</si>
  <si>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</si>
  <si>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</si>
  <si>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</si>
  <si>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</si>
  <si>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</si>
  <si>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</si>
  <si>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</si>
  <si>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</si>
  <si>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</si>
  <si>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</si>
  <si>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</si>
  <si>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</si>
  <si>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</si>
  <si>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</si>
  <si>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</si>
  <si>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</si>
  <si>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</si>
  <si>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</si>
  <si>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</si>
  <si>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</si>
  <si>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</si>
  <si>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</si>
  <si>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</si>
  <si>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</si>
  <si>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</si>
  <si>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</si>
  <si>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</si>
  <si>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</si>
  <si>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</si>
  <si>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</si>
  <si>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</si>
  <si>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</si>
  <si>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</si>
  <si>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</si>
  <si>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</si>
  <si>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</si>
  <si>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</si>
  <si>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</si>
  <si>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</si>
  <si>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</si>
  <si>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</si>
  <si>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</si>
  <si>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</si>
  <si>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</si>
  <si>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</si>
  <si>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</si>
  <si>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</si>
  <si>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</si>
  <si>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</si>
  <si>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</si>
  <si>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</si>
  <si>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</si>
  <si>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</si>
  <si>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</si>
  <si>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</si>
  <si>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</si>
  <si>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</si>
  <si>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</si>
  <si>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</si>
  <si>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</si>
  <si>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</si>
  <si>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</si>
  <si>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</si>
  <si>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</si>
  <si>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</si>
  <si>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</si>
  <si>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</si>
  <si>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</si>
  <si>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</si>
  <si>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</si>
  <si>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</si>
  <si>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</si>
  <si>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</si>
  <si>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</si>
  <si>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</si>
  <si>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</si>
  <si>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</si>
  <si>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</si>
  <si>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</si>
  <si>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</si>
  <si>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</si>
  <si>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</si>
  <si>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</si>
  <si>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</si>
  <si>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</si>
  <si>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</si>
  <si>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</si>
  <si>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</si>
  <si>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</si>
  <si>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</si>
  <si>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</si>
  <si>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</si>
  <si>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</si>
  <si>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</si>
  <si>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</si>
  <si>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</si>
  <si>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</si>
  <si>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</si>
  <si>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</si>
  <si>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</si>
  <si>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</si>
  <si>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</si>
  <si>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</si>
  <si>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</si>
  <si>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</si>
  <si>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</si>
  <si>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</si>
  <si>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</si>
  <si>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</si>
  <si>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</si>
  <si>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</si>
  <si>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</si>
  <si>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</si>
  <si>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</si>
  <si>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</si>
  <si>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</si>
  <si>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</si>
  <si>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</si>
  <si>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</si>
  <si>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</si>
  <si>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</si>
  <si>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</si>
  <si>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</si>
  <si>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</si>
  <si>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</si>
  <si>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</si>
  <si>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</si>
  <si>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</si>
  <si>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</si>
  <si>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</si>
  <si>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</si>
  <si>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</si>
  <si>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</si>
  <si>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</si>
  <si>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</si>
  <si>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</si>
  <si>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</si>
  <si>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</si>
  <si>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</si>
  <si>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</si>
  <si>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</si>
  <si>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</si>
  <si>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</si>
  <si>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</si>
  <si>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</si>
  <si>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</si>
  <si>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</si>
  <si>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</si>
  <si>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</si>
  <si>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</si>
  <si>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</si>
  <si>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</si>
  <si>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</si>
  <si>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</si>
  <si>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</si>
  <si>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</si>
  <si>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</si>
  <si>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</si>
  <si>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</si>
  <si>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</si>
  <si>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</si>
  <si>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</si>
  <si>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</si>
  <si>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</si>
  <si>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</si>
  <si>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</si>
  <si>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</si>
  <si>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</si>
  <si>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</si>
  <si>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</si>
  <si>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</si>
  <si>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</si>
  <si>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</si>
  <si>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</si>
  <si>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</si>
  <si>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</si>
  <si>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</si>
  <si>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</si>
  <si>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</si>
  <si>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</si>
  <si>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</si>
  <si>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</si>
  <si>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</si>
  <si>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</si>
  <si>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</si>
  <si>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</si>
  <si>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</si>
  <si>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</si>
  <si>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</si>
  <si>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</si>
  <si>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</si>
  <si>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</si>
  <si>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</si>
  <si>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</si>
  <si>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</si>
  <si>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</si>
  <si>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</si>
  <si>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</si>
  <si>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</si>
  <si>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</si>
  <si>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</si>
  <si>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</si>
  <si>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</si>
  <si>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</si>
  <si>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</si>
  <si>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</si>
  <si>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</si>
  <si>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</si>
  <si>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</si>
  <si>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</si>
  <si>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</si>
  <si>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</si>
  <si>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</si>
  <si>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</si>
  <si>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</si>
  <si>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</si>
  <si>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</si>
  <si>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</si>
  <si>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</si>
  <si>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</si>
  <si>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</si>
  <si>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</si>
  <si>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</si>
  <si>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</si>
  <si>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</si>
  <si>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</si>
  <si>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</si>
  <si>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</si>
  <si>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</si>
  <si>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</si>
  <si>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</si>
  <si>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</si>
  <si>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</si>
  <si>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</si>
  <si>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</si>
  <si>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</si>
  <si>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</si>
  <si>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</si>
  <si>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</si>
  <si>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</si>
  <si>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</si>
  <si>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</si>
  <si>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</si>
  <si>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</si>
  <si>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</si>
  <si>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</si>
  <si>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</si>
  <si>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</si>
  <si>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</si>
  <si>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</si>
  <si>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</si>
  <si>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</si>
  <si>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</si>
  <si>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</si>
  <si>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</si>
  <si>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</si>
  <si>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</si>
  <si>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</si>
  <si>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</si>
  <si>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</si>
  <si>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</si>
  <si>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</si>
  <si>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</si>
  <si>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</si>
  <si>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</si>
  <si>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</si>
  <si>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</si>
  <si>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</si>
  <si>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</si>
  <si>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</si>
  <si>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</si>
  <si>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</si>
  <si>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</si>
  <si>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</si>
  <si>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</si>
  <si>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</si>
  <si>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</si>
  <si>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</si>
  <si>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</si>
  <si>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</si>
  <si>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</si>
  <si>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</si>
  <si>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</si>
  <si>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</si>
  <si>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</si>
  <si>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</si>
  <si>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</si>
  <si>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</si>
  <si>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</si>
  <si>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</si>
  <si>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</si>
  <si>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</si>
  <si>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</si>
  <si>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</si>
  <si>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</si>
  <si>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</si>
  <si>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</si>
  <si>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</si>
  <si>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</si>
  <si>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</si>
  <si>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</si>
  <si>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</si>
  <si>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</si>
  <si>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</si>
  <si>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</si>
  <si>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</si>
  <si>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</si>
  <si>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</si>
  <si>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</si>
  <si>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</si>
  <si>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</si>
  <si>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</si>
  <si>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</si>
  <si>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</si>
  <si>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</si>
  <si>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</si>
  <si>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</si>
  <si>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</si>
  <si>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</si>
  <si>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</si>
  <si>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</si>
  <si>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</si>
  <si>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</si>
  <si>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</si>
  <si>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</si>
  <si>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</si>
  <si>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</si>
  <si>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</si>
  <si>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</si>
  <si>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</si>
  <si>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</si>
  <si>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</si>
  <si>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</si>
  <si>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</si>
  <si>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</si>
  <si>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</si>
  <si>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</si>
  <si>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</si>
  <si>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</si>
  <si>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</si>
  <si>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</si>
  <si>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</si>
  <si>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</si>
  <si>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</si>
  <si>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</si>
  <si>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</si>
  <si>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</si>
  <si>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</si>
  <si>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</si>
  <si>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</si>
  <si>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</si>
  <si>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</si>
  <si>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</si>
  <si>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</si>
  <si>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</si>
  <si>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</si>
  <si>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</si>
  <si>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</si>
  <si>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</si>
  <si>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</si>
  <si>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</si>
  <si>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</si>
  <si>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</si>
  <si>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</si>
  <si>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</si>
  <si>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</si>
  <si>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</si>
  <si>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</si>
  <si>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</si>
  <si>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</si>
  <si>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</si>
  <si>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</si>
  <si>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</si>
  <si>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</si>
  <si>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</si>
  <si>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</si>
  <si>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</si>
  <si>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</si>
  <si>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</si>
  <si>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</si>
  <si>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</si>
  <si>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</si>
  <si>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</si>
  <si>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</si>
  <si>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</si>
  <si>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</si>
  <si>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</si>
  <si>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</si>
  <si>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</si>
  <si>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</si>
  <si>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</si>
  <si>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</si>
  <si>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</si>
  <si>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</si>
  <si>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</si>
  <si>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</si>
  <si>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</si>
  <si>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</si>
  <si>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</si>
  <si>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</si>
  <si>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</si>
  <si>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</si>
  <si>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</si>
  <si>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</si>
  <si>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</si>
  <si>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</si>
  <si>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</si>
  <si>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</si>
  <si>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</si>
  <si>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</si>
  <si>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</si>
  <si>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</si>
  <si>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</si>
  <si>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</si>
  <si>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</si>
  <si>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</si>
  <si>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</si>
  <si>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</si>
  <si>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</si>
  <si>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</si>
  <si>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</si>
  <si>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</si>
  <si>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</si>
  <si>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</si>
  <si>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</si>
  <si>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</si>
  <si>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</si>
  <si>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</si>
  <si>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</si>
  <si>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</si>
  <si>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</si>
  <si>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</si>
  <si>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</si>
  <si>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</si>
  <si>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</si>
  <si>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</si>
  <si>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</si>
  <si>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</si>
  <si>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</si>
  <si>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</si>
  <si>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</si>
  <si>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</si>
  <si>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</si>
  <si>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</si>
  <si>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</si>
  <si>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</si>
  <si>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</si>
  <si>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</si>
  <si>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</si>
  <si>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</si>
  <si>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</si>
  <si>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</si>
  <si>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</si>
  <si>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</si>
  <si>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</si>
  <si>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</si>
  <si>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</si>
  <si>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</si>
  <si>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</si>
  <si>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</si>
  <si>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</si>
  <si>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</si>
  <si>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</si>
  <si>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</si>
  <si>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</si>
  <si>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</si>
  <si>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</si>
  <si>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</si>
  <si>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</si>
  <si>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</si>
  <si>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</si>
  <si>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</si>
  <si>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</si>
  <si>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</si>
  <si>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</si>
  <si>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</si>
  <si>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</si>
  <si>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</si>
  <si>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</si>
  <si>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</si>
  <si>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</si>
  <si>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</si>
  <si>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</si>
  <si>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</si>
  <si>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</si>
  <si>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</si>
  <si>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</si>
  <si>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</si>
  <si>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</si>
  <si>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</si>
  <si>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</si>
  <si>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</si>
  <si>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</si>
  <si>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</si>
  <si>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</si>
  <si>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</si>
  <si>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</si>
  <si>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</si>
  <si>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</si>
  <si>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</si>
  <si>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</si>
  <si>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</si>
  <si>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</si>
  <si>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</si>
  <si>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</si>
  <si>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</si>
  <si>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</si>
  <si>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</si>
  <si>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</si>
  <si>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</si>
  <si>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</si>
  <si>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</si>
  <si>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</si>
  <si>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</si>
  <si>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</si>
  <si>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</si>
  <si>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</si>
  <si>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</si>
  <si>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</si>
  <si>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</si>
  <si>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</si>
  <si>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</si>
  <si>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</si>
  <si>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</si>
  <si>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</si>
  <si>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</si>
  <si>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</si>
  <si>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</si>
  <si>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</si>
  <si>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</si>
  <si>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</si>
  <si>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</si>
  <si>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</si>
  <si>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</si>
  <si>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</si>
  <si>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</si>
  <si>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</si>
  <si>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</si>
  <si>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</si>
  <si>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</si>
  <si>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</si>
  <si>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</si>
  <si>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</si>
  <si>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</si>
  <si>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</si>
  <si>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</si>
  <si>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</si>
  <si>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</si>
  <si>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</si>
  <si>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</si>
  <si>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</si>
  <si>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</si>
  <si>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</si>
  <si>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</si>
  <si>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</si>
  <si>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</si>
  <si>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</si>
  <si>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</si>
  <si>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</si>
  <si>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</si>
  <si>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</si>
  <si>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</si>
  <si>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</si>
  <si>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</si>
  <si>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</si>
  <si>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</si>
  <si>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</si>
  <si>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</si>
  <si>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</si>
  <si>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</si>
  <si>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</si>
  <si>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</si>
  <si>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</si>
  <si>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</si>
  <si>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</si>
  <si>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</si>
  <si>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</si>
  <si>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</si>
  <si>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</si>
  <si>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</si>
  <si>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</si>
  <si>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</si>
  <si>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</si>
  <si>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</si>
  <si>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</si>
  <si>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</si>
  <si>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</si>
  <si>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</si>
  <si>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</si>
  <si>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</si>
  <si>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</si>
  <si>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</si>
  <si>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</si>
  <si>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</si>
  <si>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</si>
  <si>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</si>
  <si>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</si>
  <si>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</si>
  <si>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</si>
  <si>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</si>
  <si>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</si>
  <si>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</si>
  <si>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</si>
  <si>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</si>
  <si>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</si>
  <si>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</si>
  <si>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</si>
  <si>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</si>
  <si>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</si>
  <si>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</si>
  <si>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</si>
  <si>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</si>
  <si>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</si>
  <si>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</si>
  <si>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</si>
  <si>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</si>
  <si>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</si>
  <si>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</si>
  <si>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</si>
  <si>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</si>
  <si>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</si>
  <si>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</si>
  <si>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</si>
  <si>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</si>
  <si>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</si>
  <si>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</si>
  <si>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</si>
  <si>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</si>
  <si>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</si>
  <si>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</si>
  <si>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</si>
  <si>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</si>
  <si>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</si>
  <si>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</si>
  <si>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</si>
  <si>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</si>
  <si>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</si>
  <si>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</si>
  <si>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</si>
  <si>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</si>
  <si>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</si>
  <si>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</si>
  <si>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</si>
  <si>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</si>
  <si>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</si>
  <si>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</si>
  <si>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</si>
  <si>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</si>
  <si>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</si>
  <si>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</si>
  <si>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</si>
  <si>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</si>
  <si>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</si>
  <si>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</si>
  <si>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</si>
  <si>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</si>
  <si>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</si>
  <si>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</si>
  <si>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</si>
  <si>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</si>
  <si>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</si>
  <si>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</si>
  <si>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</si>
  <si>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</si>
  <si>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</si>
  <si>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</si>
  <si>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</si>
  <si>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</si>
  <si>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</si>
  <si>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</si>
  <si>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</si>
  <si>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</si>
  <si>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</si>
  <si>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</si>
  <si>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</si>
  <si>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</si>
  <si>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</si>
  <si>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</si>
  <si>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</si>
  <si>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</si>
  <si>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</si>
  <si>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</si>
  <si>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</si>
  <si>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</si>
  <si>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</si>
  <si>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</si>
  <si>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</si>
  <si>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</si>
  <si>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</si>
  <si>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</si>
  <si>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</si>
  <si>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</si>
  <si>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</si>
  <si>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</si>
  <si>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</si>
  <si>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</si>
  <si>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</si>
  <si>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</si>
  <si>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</si>
  <si>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</si>
  <si>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</si>
  <si>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</si>
  <si>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</si>
  <si>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</si>
  <si>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</si>
  <si>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</si>
  <si>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</si>
  <si>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</si>
  <si>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</si>
  <si>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</si>
  <si>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</si>
  <si>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</si>
  <si>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</si>
  <si>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</si>
  <si>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</si>
  <si>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</si>
  <si>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</si>
  <si>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</si>
  <si>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</si>
  <si>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</si>
  <si>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</si>
  <si>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</si>
  <si>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</si>
  <si>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</si>
  <si>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</si>
  <si>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</si>
  <si>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</si>
  <si>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</si>
  <si>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</si>
  <si>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</si>
  <si>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</si>
  <si>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</si>
  <si>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</si>
  <si>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</si>
  <si>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</si>
  <si>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</si>
  <si>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</si>
  <si>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</si>
  <si>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</si>
  <si>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</si>
  <si>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</si>
  <si>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</si>
  <si>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</si>
  <si>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</si>
  <si>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</si>
  <si>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</si>
  <si>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</si>
  <si>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</si>
  <si>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</si>
  <si>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</si>
  <si>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</si>
  <si>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</si>
  <si>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</si>
  <si>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</si>
  <si>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</si>
  <si>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</si>
  <si>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</si>
  <si>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</si>
  <si>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</si>
  <si>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</si>
  <si>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</si>
  <si>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</si>
  <si>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</si>
  <si>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</si>
  <si>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</si>
  <si>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</si>
  <si>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</si>
  <si>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</si>
  <si>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</si>
  <si>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</si>
  <si>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</si>
  <si>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</si>
  <si>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</si>
  <si>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</si>
  <si>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</si>
  <si>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</si>
  <si>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</si>
  <si>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</si>
  <si>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</si>
  <si>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</si>
  <si>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</si>
  <si>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</si>
  <si>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</si>
  <si>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</si>
  <si>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</si>
  <si>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</si>
  <si>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</si>
  <si>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</si>
  <si>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</si>
  <si>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</si>
  <si>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</si>
  <si>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</si>
  <si>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</si>
  <si>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</si>
  <si>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</si>
  <si>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</si>
  <si>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</si>
  <si>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</si>
  <si>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</si>
  <si>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</si>
  <si>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</si>
  <si>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</si>
  <si>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</si>
  <si>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</si>
  <si>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</si>
  <si>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</si>
  <si>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</si>
  <si>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</si>
  <si>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</si>
  <si>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</si>
  <si>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</si>
  <si>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</si>
  <si>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</si>
  <si>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</si>
  <si>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</si>
  <si>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</si>
  <si>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</si>
  <si>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</si>
  <si>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</si>
  <si>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</si>
  <si>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</si>
  <si>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</si>
  <si>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</si>
  <si>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</si>
  <si>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</si>
  <si>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</si>
  <si>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</si>
  <si>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</si>
  <si>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</si>
  <si>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</si>
  <si>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</si>
  <si>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</si>
  <si>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</si>
  <si>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</si>
  <si>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</si>
  <si>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</si>
  <si>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</si>
  <si>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</si>
  <si>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</si>
  <si>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</si>
  <si>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</si>
  <si>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</si>
  <si>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</si>
  <si>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</si>
  <si>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</si>
  <si>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</si>
  <si>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</si>
  <si>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</si>
  <si>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</si>
  <si>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</si>
  <si>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</si>
  <si>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</si>
  <si>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</si>
  <si>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</si>
  <si>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</si>
  <si>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</si>
  <si>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</si>
  <si>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</si>
  <si>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</si>
  <si>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</si>
  <si>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</si>
  <si>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</si>
  <si>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</si>
  <si>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</si>
  <si>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</si>
  <si>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</si>
  <si>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</si>
  <si>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</si>
  <si>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</si>
  <si>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</si>
  <si>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</si>
  <si>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</si>
  <si>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</si>
  <si>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</si>
  <si>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</si>
  <si>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</si>
  <si>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</si>
  <si>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</si>
  <si>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</si>
  <si>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</si>
  <si>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</si>
  <si>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</si>
  <si>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</si>
  <si>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</si>
  <si>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</si>
  <si>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</si>
  <si>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</si>
  <si>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</si>
  <si>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</si>
  <si>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</si>
  <si>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</si>
  <si>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</si>
  <si>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</si>
  <si>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</si>
  <si>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</si>
  <si>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</si>
  <si>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</si>
  <si>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</si>
  <si>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</si>
  <si>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</si>
  <si>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</si>
  <si>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</si>
  <si>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</si>
  <si>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</si>
  <si>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</si>
  <si>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</si>
  <si>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</si>
  <si>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</si>
  <si>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</si>
  <si>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</si>
  <si>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</si>
  <si>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</si>
  <si>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</si>
  <si>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</si>
  <si>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</si>
  <si>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</si>
  <si>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</si>
  <si>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</si>
  <si>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</si>
  <si>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</si>
  <si>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</si>
  <si>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</si>
  <si>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</si>
  <si>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</si>
  <si>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</si>
  <si>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</si>
  <si>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</si>
  <si>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</si>
  <si>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</si>
  <si>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</si>
  <si>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</si>
  <si>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</si>
  <si>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</si>
  <si>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</si>
  <si>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</si>
  <si>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</si>
  <si>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</si>
  <si>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</si>
  <si>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</si>
  <si>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</si>
  <si>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</si>
  <si>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</si>
  <si>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</si>
  <si>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</si>
  <si>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</si>
  <si>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</si>
  <si>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</si>
  <si>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</si>
  <si>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</si>
  <si>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</si>
  <si>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</si>
  <si>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</si>
  <si>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</si>
  <si>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</si>
  <si>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</si>
  <si>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</si>
  <si>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</si>
  <si>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</si>
  <si>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</si>
  <si>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</si>
  <si>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</si>
  <si>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</si>
  <si>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</si>
  <si>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</si>
  <si>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</si>
  <si>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</si>
  <si>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</si>
  <si>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</si>
  <si>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</si>
  <si>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</si>
  <si>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</si>
  <si>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</si>
  <si>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</si>
  <si>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</si>
  <si>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</si>
  <si>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</si>
  <si>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</si>
  <si>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</si>
  <si>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</si>
  <si>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</si>
  <si>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</si>
  <si>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</si>
  <si>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</si>
  <si>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</si>
  <si>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</si>
  <si>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</si>
  <si>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</si>
  <si>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</si>
  <si>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</si>
  <si>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</si>
  <si>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</si>
  <si>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</si>
  <si>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</si>
  <si>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</si>
  <si>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</si>
  <si>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</si>
  <si>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</si>
  <si>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</si>
  <si>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</si>
  <si>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</si>
  <si>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</si>
  <si>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</si>
  <si>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</si>
  <si>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</si>
  <si>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</si>
  <si>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</si>
  <si>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</si>
  <si>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</si>
  <si>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</si>
  <si>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</si>
  <si>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</si>
  <si>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</si>
  <si>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</si>
  <si>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</si>
  <si>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</si>
  <si>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</si>
  <si>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</si>
  <si>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</si>
  <si>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</si>
  <si>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</si>
  <si>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</si>
  <si>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</si>
  <si>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</si>
  <si>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</si>
  <si>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</si>
  <si>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</si>
  <si>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</si>
  <si>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</si>
  <si>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</si>
  <si>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</si>
  <si>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</si>
  <si>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</si>
  <si>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</si>
  <si>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</si>
  <si>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</si>
  <si>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</si>
  <si>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</si>
  <si>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</si>
  <si>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</si>
  <si>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</si>
  <si>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</si>
  <si>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</si>
  <si>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</si>
  <si>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</si>
  <si>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</si>
  <si>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</si>
  <si>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</si>
  <si>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</si>
  <si>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</si>
  <si>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</si>
  <si>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</si>
  <si>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</si>
  <si>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</si>
  <si>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</si>
  <si>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</si>
  <si>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</si>
  <si>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</si>
  <si>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</si>
  <si>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</si>
  <si>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</si>
  <si>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</si>
  <si>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</si>
  <si>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</si>
  <si>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</si>
  <si>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</si>
  <si>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</si>
  <si>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</si>
  <si>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</si>
  <si>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</si>
  <si>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</si>
  <si>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</si>
  <si>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</si>
  <si>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</si>
  <si>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</si>
  <si>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</si>
  <si>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</si>
  <si>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</si>
  <si>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</si>
  <si>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</si>
  <si>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</si>
  <si>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</si>
  <si>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</si>
  <si>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</si>
  <si>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</si>
  <si>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</si>
  <si>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</si>
  <si>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</si>
  <si>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</si>
  <si>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</si>
  <si>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</si>
  <si>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</si>
  <si>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</si>
  <si>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</si>
  <si>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</si>
  <si>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</si>
  <si>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</si>
  <si>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</si>
  <si>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</si>
  <si>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</si>
  <si>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</si>
  <si>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</si>
  <si>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</si>
  <si>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</si>
  <si>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</si>
  <si>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</si>
  <si>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</si>
  <si>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</si>
  <si>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</si>
  <si>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</si>
  <si>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</si>
  <si>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</si>
  <si>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</si>
  <si>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</si>
  <si>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</si>
  <si>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</si>
  <si>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</si>
  <si>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</si>
  <si>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</si>
  <si>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</si>
  <si>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</si>
  <si>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</si>
  <si>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</si>
  <si>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</si>
  <si>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</si>
  <si>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</si>
  <si>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</si>
  <si>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</si>
  <si>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</si>
  <si>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</si>
  <si>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</si>
  <si>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</si>
  <si>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</si>
  <si>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</si>
  <si>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</si>
  <si>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</si>
  <si>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</si>
  <si>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</si>
  <si>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</si>
  <si>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</si>
  <si>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</si>
  <si>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</si>
  <si>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</si>
  <si>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</si>
  <si>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</si>
  <si>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</si>
  <si>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</si>
  <si>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</si>
  <si>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</si>
  <si>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</si>
  <si>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</si>
  <si>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</si>
  <si>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</si>
  <si>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</si>
  <si>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</si>
  <si>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</si>
  <si>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</si>
  <si>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</si>
  <si>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</si>
  <si>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</si>
  <si>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</si>
  <si>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</si>
  <si>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</si>
  <si>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</si>
  <si>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</si>
  <si>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</si>
  <si>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</si>
  <si>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</si>
  <si>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</si>
  <si>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</si>
  <si>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</si>
  <si>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</si>
  <si>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</si>
  <si>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</si>
  <si>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</si>
  <si>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</si>
  <si>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</si>
  <si>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</si>
  <si>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</si>
  <si>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</si>
  <si>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</si>
  <si>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</si>
  <si>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</si>
  <si>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</si>
  <si>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</si>
  <si>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</si>
  <si>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</si>
  <si>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</si>
  <si>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</si>
  <si>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</si>
  <si>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</si>
  <si>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</si>
  <si>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</si>
  <si>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</si>
  <si>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</si>
  <si>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</si>
  <si>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</si>
  <si>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</si>
  <si>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</si>
  <si>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</si>
  <si>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</si>
  <si>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</si>
  <si>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</si>
  <si>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</si>
  <si>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</si>
  <si>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</si>
  <si>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</si>
  <si>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</si>
  <si>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</si>
  <si>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</si>
  <si>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</si>
  <si>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</si>
  <si>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</si>
  <si>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</si>
  <si>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</si>
  <si>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</si>
  <si>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</si>
  <si>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</si>
  <si>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</si>
  <si>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</si>
  <si>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</si>
  <si>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</si>
  <si>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</si>
  <si>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</si>
  <si>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</si>
  <si>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</si>
  <si>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</si>
  <si>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</si>
  <si>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</si>
  <si>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</si>
  <si>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</si>
  <si>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</si>
  <si>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</si>
  <si>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</si>
  <si>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</si>
  <si>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</si>
  <si>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</si>
  <si>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</si>
  <si>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</si>
  <si>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</si>
  <si>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</si>
  <si>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</si>
  <si>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</si>
  <si>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</si>
  <si>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</si>
  <si>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</si>
  <si>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</si>
  <si>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</si>
  <si>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</si>
  <si>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</si>
  <si>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</si>
  <si>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</si>
  <si>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</si>
  <si>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</si>
  <si>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</si>
  <si>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</si>
  <si>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</si>
  <si>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</si>
  <si>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</si>
  <si>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</si>
  <si>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</si>
  <si>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</si>
  <si>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</si>
  <si>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</si>
  <si>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</si>
  <si>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</si>
  <si>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</si>
  <si>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</si>
  <si>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</si>
  <si>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</si>
  <si>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</si>
  <si>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</si>
  <si>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</si>
  <si>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</si>
  <si>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</si>
  <si>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</si>
  <si>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</si>
  <si>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</si>
  <si>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</si>
  <si>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</si>
  <si>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</si>
  <si>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</si>
  <si>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</si>
  <si>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</si>
  <si>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</si>
  <si>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</si>
  <si>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</si>
  <si>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</si>
  <si>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</si>
  <si>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</si>
  <si>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</si>
  <si>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</si>
  <si>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</si>
  <si>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</si>
  <si>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</si>
  <si>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</si>
  <si>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</si>
  <si>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</si>
  <si>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</si>
  <si>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</si>
  <si>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</si>
  <si>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</si>
  <si>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</si>
  <si>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</si>
  <si>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</si>
  <si>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</si>
  <si>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</si>
  <si>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</si>
  <si>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</si>
  <si>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</si>
  <si>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</si>
  <si>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</si>
  <si>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</si>
  <si>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</si>
  <si>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</si>
  <si>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</si>
  <si>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</si>
  <si>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</si>
  <si>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</si>
  <si>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</si>
  <si>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</si>
  <si>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</si>
  <si>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</si>
  <si>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</si>
  <si>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</si>
  <si>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</si>
  <si>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</si>
  <si>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</si>
  <si>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</si>
  <si>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</si>
  <si>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</si>
  <si>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</si>
  <si>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</si>
  <si>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</si>
  <si>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</si>
  <si>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</si>
  <si>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</si>
  <si>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</si>
  <si>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</si>
  <si>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</si>
  <si>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</si>
  <si>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</si>
  <si>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</si>
  <si>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</si>
  <si>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</si>
  <si>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</si>
  <si>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</si>
  <si>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</si>
  <si>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</si>
  <si>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</si>
  <si>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</si>
  <si>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</si>
  <si>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</si>
  <si>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</si>
  <si>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</si>
  <si>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</si>
  <si>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</si>
  <si>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</si>
  <si>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</si>
  <si>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</si>
  <si>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</si>
  <si>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</si>
  <si>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</si>
  <si>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</si>
  <si>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</si>
  <si>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</si>
  <si>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</si>
  <si>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</si>
  <si>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</si>
  <si>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</si>
  <si>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</si>
  <si>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</si>
  <si>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</si>
  <si>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</si>
  <si>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</si>
  <si>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</si>
  <si>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</si>
  <si>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</si>
  <si>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</si>
  <si>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</si>
  <si>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</si>
  <si>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</si>
  <si>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</si>
  <si>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</si>
  <si>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</si>
  <si>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</si>
  <si>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</si>
  <si>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</si>
  <si>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</si>
  <si>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</si>
  <si>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</si>
  <si>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</si>
  <si>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</si>
  <si>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</si>
  <si>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</si>
  <si>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</si>
  <si>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</si>
  <si>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</si>
  <si>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</si>
  <si>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</si>
  <si>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</si>
  <si>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</si>
  <si>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</si>
  <si>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</si>
  <si>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</si>
  <si>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</si>
  <si>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</si>
  <si>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</si>
  <si>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</si>
  <si>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</si>
  <si>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</si>
  <si>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</si>
  <si>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</si>
  <si>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</si>
  <si>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</si>
  <si>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</si>
  <si>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</si>
  <si>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</si>
  <si>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</si>
  <si>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</si>
  <si>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</si>
  <si>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</si>
  <si>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</si>
  <si>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</si>
  <si>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</si>
  <si>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</si>
  <si>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</si>
  <si>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</si>
  <si>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</si>
  <si>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</si>
  <si>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</si>
  <si>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</si>
  <si>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</si>
  <si>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</si>
  <si>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</si>
  <si>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</si>
  <si>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</si>
  <si>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</si>
  <si>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</si>
  <si>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</si>
  <si>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</si>
  <si>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</si>
  <si>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</si>
  <si>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</si>
  <si>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</si>
  <si>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</si>
  <si>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</si>
  <si>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</si>
  <si>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</si>
  <si>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</si>
  <si>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</si>
  <si>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</si>
  <si>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</si>
  <si>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</si>
  <si>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</si>
  <si>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</si>
  <si>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</si>
  <si>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</si>
  <si>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</si>
  <si>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</si>
  <si>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</si>
  <si>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</si>
  <si>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</si>
  <si>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</si>
  <si>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</si>
  <si>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</si>
  <si>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</si>
  <si>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</si>
  <si>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</si>
  <si>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</si>
  <si>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</si>
  <si>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</si>
  <si>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</si>
  <si>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</si>
  <si>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</si>
  <si>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</si>
  <si>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</si>
  <si>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</si>
  <si>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</si>
  <si>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</si>
  <si>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</si>
  <si>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</si>
  <si>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</si>
  <si>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</si>
  <si>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</si>
  <si>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</si>
  <si>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</si>
  <si>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</si>
  <si>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</si>
  <si>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</si>
  <si>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</si>
  <si>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</si>
  <si>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</si>
  <si>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</si>
  <si>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</si>
  <si>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</si>
  <si>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</si>
  <si>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</si>
  <si>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</si>
  <si>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</si>
  <si>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</si>
  <si>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</si>
  <si>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</si>
  <si>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</si>
  <si>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</si>
  <si>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</si>
  <si>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</si>
  <si>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</si>
  <si>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</si>
  <si>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</si>
  <si>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</si>
  <si>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</si>
  <si>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</si>
  <si>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</si>
  <si>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</si>
  <si>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</si>
  <si>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</si>
  <si>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</si>
  <si>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</si>
  <si>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</si>
  <si>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</si>
  <si>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</si>
  <si>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</si>
  <si>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</si>
  <si>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</si>
  <si>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</si>
  <si>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</si>
  <si>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</si>
  <si>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</si>
  <si>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</si>
  <si>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</si>
  <si>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</si>
  <si>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</si>
  <si>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</si>
  <si>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</si>
  <si>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</si>
  <si>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</si>
  <si>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</si>
  <si>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</si>
  <si>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</si>
  <si>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</si>
  <si>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</si>
  <si>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</si>
  <si>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</si>
  <si>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</si>
  <si>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</si>
  <si>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</si>
  <si>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</si>
  <si>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</si>
  <si>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</si>
  <si>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</si>
  <si>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</si>
  <si>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</si>
  <si>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</si>
  <si>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</si>
  <si>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</si>
  <si>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</si>
  <si>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</si>
  <si>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</si>
  <si>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</si>
  <si>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</si>
  <si>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</si>
  <si>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</si>
  <si>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</si>
  <si>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</si>
  <si>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</si>
  <si>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</si>
  <si>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</si>
  <si>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</si>
  <si>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</si>
  <si>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</si>
  <si>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</si>
  <si>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</si>
  <si>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</si>
  <si>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</si>
  <si>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</si>
  <si>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</si>
  <si>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</si>
  <si>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</si>
  <si>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</si>
  <si>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</si>
  <si>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</si>
  <si>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</si>
  <si>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</si>
  <si>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</si>
  <si>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</si>
  <si>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</si>
  <si>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</si>
  <si>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</si>
  <si>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</si>
  <si>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</si>
  <si>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</si>
  <si>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</si>
  <si>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</si>
  <si>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</si>
  <si>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</si>
  <si>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</si>
  <si>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</si>
  <si>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</si>
  <si>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</si>
  <si>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</si>
  <si>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</si>
  <si>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</si>
  <si>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</si>
  <si>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</si>
  <si>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</si>
  <si>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</si>
  <si>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</si>
  <si>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</si>
  <si>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</si>
  <si>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</si>
  <si>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</si>
  <si>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</si>
  <si>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</si>
  <si>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</si>
  <si>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</si>
  <si>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</si>
  <si>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</si>
  <si>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</si>
  <si>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</si>
  <si>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</si>
  <si>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</si>
  <si>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</si>
  <si>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</si>
  <si>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</si>
  <si>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</si>
  <si>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</si>
  <si>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</si>
  <si>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</si>
  <si>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</si>
  <si>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</si>
  <si>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</si>
  <si>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</si>
  <si>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</si>
  <si>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</si>
  <si>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</si>
  <si>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</si>
  <si>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</si>
  <si>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</si>
  <si>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</si>
  <si>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</si>
  <si>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</si>
  <si>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</si>
  <si>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</si>
  <si>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</si>
  <si>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</si>
  <si>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</si>
  <si>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</si>
  <si>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</si>
  <si>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</si>
  <si>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</si>
  <si>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</si>
  <si>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</si>
  <si>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</si>
  <si>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</si>
  <si>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</si>
  <si>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</si>
  <si>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</si>
  <si>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</si>
  <si>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</si>
  <si>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</si>
  <si>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</si>
  <si>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</si>
  <si>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</si>
  <si>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</si>
  <si>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</si>
  <si>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</si>
  <si>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</si>
  <si>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</si>
  <si>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</si>
  <si>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</si>
  <si>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</si>
  <si>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</si>
  <si>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</si>
  <si>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</si>
  <si>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</si>
  <si>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</si>
  <si>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</si>
  <si>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</si>
  <si>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</si>
  <si>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</si>
  <si>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</si>
  <si>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</si>
  <si>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</si>
  <si>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</si>
  <si>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</si>
  <si>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</si>
  <si>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</si>
  <si>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</si>
  <si>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</si>
  <si>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</si>
  <si>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</si>
  <si>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</si>
  <si>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</si>
  <si>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</si>
  <si>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</si>
  <si>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</si>
  <si>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</si>
  <si>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</si>
  <si>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</si>
  <si>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</si>
  <si>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</si>
  <si>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</si>
  <si>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</si>
  <si>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</si>
  <si>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</si>
  <si>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</si>
  <si>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</si>
  <si>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</si>
  <si>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</si>
  <si>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</si>
  <si>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</si>
  <si>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</si>
  <si>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</si>
  <si>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</si>
  <si>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</si>
  <si>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</si>
  <si>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</si>
  <si>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</si>
  <si>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</si>
  <si>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</si>
  <si>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</si>
  <si>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</si>
  <si>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</si>
  <si>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</si>
  <si>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</si>
  <si>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</si>
  <si>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</si>
  <si>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</si>
  <si>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</si>
  <si>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</si>
  <si>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</si>
  <si>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</si>
  <si>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</si>
  <si>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</si>
  <si>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</si>
  <si>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</si>
  <si>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</si>
  <si>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</si>
  <si>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</si>
  <si>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</si>
  <si>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</si>
  <si>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</si>
  <si>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</si>
  <si>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</si>
  <si>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</si>
  <si>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</si>
  <si>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</si>
  <si>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</si>
  <si>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</si>
  <si>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</si>
  <si>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</si>
  <si>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</si>
  <si>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</si>
  <si>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</si>
  <si>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</si>
  <si>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</si>
  <si>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</si>
  <si>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</si>
  <si>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</si>
  <si>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</si>
  <si>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</si>
  <si>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</si>
  <si>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</si>
  <si>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</si>
  <si>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</si>
  <si>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</si>
  <si>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</si>
  <si>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</si>
  <si>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</si>
  <si>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</si>
  <si>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</si>
  <si>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</si>
  <si>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</si>
  <si>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</si>
  <si>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</si>
  <si>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</si>
  <si>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</si>
  <si>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</si>
  <si>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</si>
  <si>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</si>
  <si>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</si>
  <si>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</si>
  <si>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</si>
  <si>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</si>
  <si>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</si>
  <si>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</si>
  <si>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</si>
  <si>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</si>
  <si>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</si>
  <si>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</si>
  <si>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</si>
  <si>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</si>
  <si>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</si>
  <si>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</si>
  <si>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</si>
  <si>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</si>
  <si>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</si>
  <si>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</si>
  <si>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</si>
  <si>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</si>
  <si>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</si>
  <si>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</si>
  <si>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</si>
  <si>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</si>
  <si>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</si>
  <si>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</si>
  <si>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</si>
  <si>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</si>
  <si>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</si>
  <si>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</si>
  <si>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</si>
  <si>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</si>
  <si>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</si>
  <si>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</si>
  <si>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</si>
  <si>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</si>
  <si>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</si>
  <si>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</si>
  <si>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</si>
  <si>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</si>
  <si>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</si>
  <si>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</si>
  <si>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</si>
  <si>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</si>
  <si>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</si>
  <si>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</si>
  <si>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</si>
  <si>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</si>
  <si>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</si>
  <si>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</si>
  <si>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</si>
  <si>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</si>
  <si>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</si>
  <si>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</si>
  <si>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</si>
  <si>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</si>
  <si>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</si>
  <si>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</si>
  <si>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</si>
  <si>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</si>
  <si>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</si>
  <si>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</si>
  <si>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</si>
  <si>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</si>
  <si>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</si>
  <si>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</si>
  <si>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</si>
  <si>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</si>
  <si>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</si>
  <si>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</si>
  <si>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</si>
  <si>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</si>
  <si>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</si>
  <si>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</si>
  <si>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</si>
  <si>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</si>
  <si>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</si>
  <si>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</si>
  <si>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</si>
  <si>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</si>
  <si>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</si>
  <si>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</si>
  <si>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</si>
  <si>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</si>
  <si>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</si>
  <si>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</si>
  <si>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</si>
  <si>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</si>
  <si>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</si>
  <si>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</si>
  <si>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</si>
  <si>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</si>
  <si>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</si>
  <si>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</si>
  <si>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</si>
  <si>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</si>
  <si>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</si>
  <si>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</si>
  <si>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</si>
  <si>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</si>
  <si>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</si>
  <si>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</si>
  <si>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</si>
  <si>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</si>
  <si>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</si>
  <si>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</si>
  <si>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</si>
  <si>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</si>
  <si>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</si>
  <si>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</si>
  <si>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</si>
  <si>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</si>
  <si>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</si>
  <si>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</si>
  <si>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</si>
  <si>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</si>
  <si>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</si>
  <si>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</si>
  <si>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</si>
  <si>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</si>
  <si>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</si>
  <si>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</si>
  <si>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</si>
  <si>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</si>
  <si>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</si>
  <si>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</si>
  <si>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</si>
  <si>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</si>
  <si>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</si>
  <si>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</si>
  <si>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</si>
  <si>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</si>
  <si>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</si>
  <si>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</si>
  <si>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</si>
  <si>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</si>
  <si>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</si>
  <si>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</si>
  <si>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</si>
  <si>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</si>
  <si>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</si>
  <si>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</si>
  <si>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</si>
  <si>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</si>
  <si>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</si>
  <si>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</si>
  <si>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</si>
  <si>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</si>
  <si>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</si>
  <si>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</si>
  <si>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</si>
  <si>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</si>
  <si>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</si>
  <si>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</si>
  <si>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</si>
  <si>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</si>
  <si>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</si>
  <si>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</si>
  <si>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</si>
  <si>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</si>
  <si>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</si>
  <si>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</si>
  <si>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</si>
  <si>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</si>
  <si>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</si>
  <si>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</si>
  <si>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</si>
  <si>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</si>
  <si>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</si>
  <si>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</si>
  <si>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</si>
  <si>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</si>
  <si>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</si>
  <si>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</si>
  <si>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</si>
  <si>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</si>
  <si>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</si>
  <si>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</si>
  <si>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</si>
  <si>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</si>
  <si>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</si>
  <si>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</si>
  <si>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</si>
  <si>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</si>
  <si>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</si>
  <si>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</si>
  <si>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</si>
  <si>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</si>
  <si>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</si>
  <si>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</si>
  <si>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成本比率</t>
  </si>
  <si>
    <t>成本法</t>
  </si>
  <si>
    <t>现房</t>
  </si>
  <si>
    <t>项目局部</t>
  </si>
  <si>
    <t>地上</t>
  </si>
  <si>
    <t>是</t>
  </si>
  <si>
    <t>序号</t>
    <phoneticPr fontId="143" type="noConversion"/>
  </si>
  <si>
    <t>《房地产证》证号</t>
    <phoneticPr fontId="143" type="noConversion"/>
  </si>
  <si>
    <t>权利人</t>
    <phoneticPr fontId="143" type="noConversion"/>
  </si>
  <si>
    <t>土地</t>
    <phoneticPr fontId="143" type="noConversion"/>
  </si>
  <si>
    <t>建筑物及其附着物</t>
    <phoneticPr fontId="143" type="noConversion"/>
  </si>
  <si>
    <t>他项权利摘要及附记</t>
    <phoneticPr fontId="143" type="noConversion"/>
  </si>
  <si>
    <t>现状楼号</t>
    <phoneticPr fontId="143" type="noConversion"/>
  </si>
  <si>
    <t>现状用途</t>
    <phoneticPr fontId="143" type="noConversion"/>
  </si>
  <si>
    <t>现状楼层</t>
    <phoneticPr fontId="143" type="noConversion"/>
  </si>
  <si>
    <t>建筑结构</t>
    <phoneticPr fontId="143" type="noConversion"/>
  </si>
  <si>
    <t>层高</t>
    <phoneticPr fontId="143" type="noConversion"/>
  </si>
  <si>
    <t>电梯</t>
    <phoneticPr fontId="143" type="noConversion"/>
  </si>
  <si>
    <t>是否通燃气</t>
    <phoneticPr fontId="143" type="noConversion"/>
  </si>
  <si>
    <t>有无改造、翻新</t>
    <phoneticPr fontId="143" type="noConversion"/>
  </si>
  <si>
    <t>有无重建</t>
    <phoneticPr fontId="143" type="noConversion"/>
  </si>
  <si>
    <t>宗地号</t>
    <phoneticPr fontId="143" type="noConversion"/>
  </si>
  <si>
    <t>宗地面积</t>
    <phoneticPr fontId="143" type="noConversion"/>
  </si>
  <si>
    <t>土地用途</t>
    <phoneticPr fontId="143" type="noConversion"/>
  </si>
  <si>
    <t>所在区</t>
    <phoneticPr fontId="143" type="noConversion"/>
  </si>
  <si>
    <t>土地位置</t>
    <phoneticPr fontId="143" type="noConversion"/>
  </si>
  <si>
    <t>使用年限</t>
    <phoneticPr fontId="143" type="noConversion"/>
  </si>
  <si>
    <t>房地产名称</t>
    <phoneticPr fontId="143" type="noConversion"/>
  </si>
  <si>
    <t>建筑面积</t>
    <phoneticPr fontId="143" type="noConversion"/>
  </si>
  <si>
    <t>证载用途</t>
    <phoneticPr fontId="143" type="noConversion"/>
  </si>
  <si>
    <t>竣工日期</t>
    <phoneticPr fontId="143" type="noConversion"/>
  </si>
  <si>
    <t>登记价</t>
    <phoneticPr fontId="143" type="noConversion"/>
  </si>
  <si>
    <t>深圳市中住汇智实业有限公司</t>
    <phoneticPr fontId="143" type="noConversion"/>
  </si>
  <si>
    <t>G06318-0051</t>
    <phoneticPr fontId="143" type="noConversion"/>
  </si>
  <si>
    <t>工业仓储</t>
    <phoneticPr fontId="143" type="noConversion"/>
  </si>
  <si>
    <t>龙岗区</t>
    <phoneticPr fontId="143" type="noConversion"/>
  </si>
  <si>
    <t>布吉沙湾百门前工业区</t>
    <phoneticPr fontId="143" type="noConversion"/>
  </si>
  <si>
    <t>1991-12-20至2041-12-20</t>
    <phoneticPr fontId="143" type="noConversion"/>
  </si>
  <si>
    <t>厂房1#</t>
    <phoneticPr fontId="143" type="noConversion"/>
  </si>
  <si>
    <t>工业厂房</t>
    <phoneticPr fontId="143" type="noConversion"/>
  </si>
  <si>
    <t>2015年1月29日抵押给中国康富国际租赁有限公司，编号6D15002933</t>
    <phoneticPr fontId="143" type="noConversion"/>
  </si>
  <si>
    <t>1#厂房</t>
    <phoneticPr fontId="143" type="noConversion"/>
  </si>
  <si>
    <t>局部酒店、局部商业、局部空置</t>
    <phoneticPr fontId="143" type="noConversion"/>
  </si>
  <si>
    <t>7层</t>
    <phoneticPr fontId="143" type="noConversion"/>
  </si>
  <si>
    <t>框架</t>
    <phoneticPr fontId="143" type="noConversion"/>
  </si>
  <si>
    <t>2部货梯</t>
    <phoneticPr fontId="143" type="noConversion"/>
  </si>
  <si>
    <t>无</t>
    <phoneticPr fontId="143" type="noConversion"/>
  </si>
  <si>
    <t>深房地字第6000298235号</t>
    <phoneticPr fontId="143" type="noConversion"/>
  </si>
  <si>
    <t>G06318-0052</t>
  </si>
  <si>
    <t>2#厂房</t>
    <phoneticPr fontId="143" type="noConversion"/>
  </si>
  <si>
    <t>2#厂房</t>
  </si>
  <si>
    <t>商业、车间、办公、仓库</t>
    <phoneticPr fontId="143" type="noConversion"/>
  </si>
  <si>
    <t>深房地字第6000298236号</t>
    <phoneticPr fontId="143" type="noConversion"/>
  </si>
  <si>
    <t>深圳市中住汇智实业有限公司</t>
    <phoneticPr fontId="143" type="noConversion"/>
  </si>
  <si>
    <t>G06318-0054</t>
    <phoneticPr fontId="143" type="noConversion"/>
  </si>
  <si>
    <t>工业仓储</t>
    <phoneticPr fontId="143" type="noConversion"/>
  </si>
  <si>
    <t>龙岗区</t>
    <phoneticPr fontId="143" type="noConversion"/>
  </si>
  <si>
    <t>布吉沙湾百门前工业区</t>
    <phoneticPr fontId="143" type="noConversion"/>
  </si>
  <si>
    <t>1991-12-20至2041-12-20</t>
    <phoneticPr fontId="143" type="noConversion"/>
  </si>
  <si>
    <t>3#厂房</t>
  </si>
  <si>
    <t>工业厂房</t>
    <phoneticPr fontId="143" type="noConversion"/>
  </si>
  <si>
    <t>2015年1月29日抵押给中国康富国际租赁有限公司，编号6D15002933</t>
    <phoneticPr fontId="143" type="noConversion"/>
  </si>
  <si>
    <t>车间、办公、仓库</t>
    <phoneticPr fontId="143" type="noConversion"/>
  </si>
  <si>
    <t>7层</t>
    <phoneticPr fontId="143" type="noConversion"/>
  </si>
  <si>
    <t>框架</t>
    <phoneticPr fontId="143" type="noConversion"/>
  </si>
  <si>
    <t>2部货梯</t>
    <phoneticPr fontId="143" type="noConversion"/>
  </si>
  <si>
    <t>无</t>
    <phoneticPr fontId="143" type="noConversion"/>
  </si>
  <si>
    <t>深房地字第6000298232号</t>
    <phoneticPr fontId="143" type="noConversion"/>
  </si>
  <si>
    <t>G06318-121</t>
    <phoneticPr fontId="143" type="noConversion"/>
  </si>
  <si>
    <t>工业用地</t>
    <phoneticPr fontId="143" type="noConversion"/>
  </si>
  <si>
    <t>龙岗</t>
    <phoneticPr fontId="143" type="noConversion"/>
  </si>
  <si>
    <t>深圳市龙岗区布吉镇沙湾百门前工业区</t>
    <phoneticPr fontId="143" type="noConversion"/>
  </si>
  <si>
    <t>1991-12-20至2041-12-19</t>
    <phoneticPr fontId="143" type="noConversion"/>
  </si>
  <si>
    <t>4#厂房第3、4、5、6、7层</t>
    <phoneticPr fontId="143" type="noConversion"/>
  </si>
  <si>
    <t>4#厂房</t>
  </si>
  <si>
    <t>1层6米，其他楼层3.8米</t>
    <phoneticPr fontId="143" type="noConversion"/>
  </si>
  <si>
    <t>深房地字第6000298240号</t>
    <phoneticPr fontId="143" type="noConversion"/>
  </si>
  <si>
    <t>G06318-24</t>
    <phoneticPr fontId="143" type="noConversion"/>
  </si>
  <si>
    <t>厂房6栋第一层</t>
    <phoneticPr fontId="143" type="noConversion"/>
  </si>
  <si>
    <t>其他</t>
    <phoneticPr fontId="143" type="noConversion"/>
  </si>
  <si>
    <t>6#厂房</t>
    <phoneticPr fontId="143" type="noConversion"/>
  </si>
  <si>
    <t>深房地字第6000298222号</t>
    <phoneticPr fontId="143" type="noConversion"/>
  </si>
  <si>
    <t>厂房6栋第3-7层</t>
    <phoneticPr fontId="143" type="noConversion"/>
  </si>
  <si>
    <t>深房地字第6000298209号</t>
    <phoneticPr fontId="143" type="noConversion"/>
  </si>
  <si>
    <t>G06318-116</t>
    <phoneticPr fontId="143" type="noConversion"/>
  </si>
  <si>
    <t>——</t>
    <phoneticPr fontId="143" type="noConversion"/>
  </si>
  <si>
    <t>布吉镇南岭村</t>
    <phoneticPr fontId="143" type="noConversion"/>
  </si>
  <si>
    <t>1#宿舍（共七层）</t>
    <phoneticPr fontId="143" type="noConversion"/>
  </si>
  <si>
    <t>宿舍</t>
    <phoneticPr fontId="143" type="noConversion"/>
  </si>
  <si>
    <t>1#宿舍</t>
    <phoneticPr fontId="143" type="noConversion"/>
  </si>
  <si>
    <t>宿舍，1层局部商业</t>
    <phoneticPr fontId="143" type="noConversion"/>
  </si>
  <si>
    <t>砖混</t>
    <phoneticPr fontId="143" type="noConversion"/>
  </si>
  <si>
    <t>深房地字第6000298214号</t>
    <phoneticPr fontId="143" type="noConversion"/>
  </si>
  <si>
    <t>G06318-114</t>
    <phoneticPr fontId="143" type="noConversion"/>
  </si>
  <si>
    <t>2#宿舍（共七层）</t>
  </si>
  <si>
    <t>2#宿舍</t>
  </si>
  <si>
    <t>深房地字第6000298212号</t>
    <phoneticPr fontId="143" type="noConversion"/>
  </si>
  <si>
    <t>G06318-113</t>
    <phoneticPr fontId="143" type="noConversion"/>
  </si>
  <si>
    <t>3#宿舍第1至5层</t>
    <phoneticPr fontId="143" type="noConversion"/>
  </si>
  <si>
    <t>住宅</t>
    <phoneticPr fontId="143" type="noConversion"/>
  </si>
  <si>
    <t>3#宿舍</t>
  </si>
  <si>
    <t>深房地字第6000298211号</t>
    <phoneticPr fontId="143" type="noConversion"/>
  </si>
  <si>
    <t>G06318-117</t>
    <phoneticPr fontId="143" type="noConversion"/>
  </si>
  <si>
    <t>4#宿舍（共七层）</t>
    <phoneticPr fontId="143" type="noConversion"/>
  </si>
  <si>
    <t>4#宿舍</t>
  </si>
  <si>
    <t>深房地字第6000298220号</t>
    <phoneticPr fontId="143" type="noConversion"/>
  </si>
  <si>
    <t>G06318-115</t>
    <phoneticPr fontId="143" type="noConversion"/>
  </si>
  <si>
    <t>5#宿舍（共七层）</t>
  </si>
  <si>
    <t>5#宿舍</t>
  </si>
  <si>
    <t>深房地字第6000298219号</t>
    <phoneticPr fontId="143" type="noConversion"/>
  </si>
  <si>
    <t>G06318-0026</t>
    <phoneticPr fontId="143" type="noConversion"/>
  </si>
  <si>
    <t>宿舍6#</t>
    <phoneticPr fontId="143" type="noConversion"/>
  </si>
  <si>
    <t>6#宿舍</t>
  </si>
  <si>
    <t>深房地字第6000298203号</t>
    <phoneticPr fontId="143" type="noConversion"/>
  </si>
  <si>
    <t>G06318-0025</t>
    <phoneticPr fontId="143" type="noConversion"/>
  </si>
  <si>
    <t>宿舍7#</t>
  </si>
  <si>
    <t>7#宿舍</t>
  </si>
  <si>
    <t>深房地字第6000298221号</t>
    <phoneticPr fontId="143" type="noConversion"/>
  </si>
  <si>
    <t>G06318-0027</t>
    <phoneticPr fontId="143" type="noConversion"/>
  </si>
  <si>
    <t>宿舍8#</t>
  </si>
  <si>
    <t>8#宿舍</t>
  </si>
  <si>
    <t>深房地字第6000298217号</t>
    <phoneticPr fontId="143" type="noConversion"/>
  </si>
  <si>
    <t>G06318-0055</t>
    <phoneticPr fontId="143" type="noConversion"/>
  </si>
  <si>
    <t>饭堂6层</t>
    <phoneticPr fontId="143" type="noConversion"/>
  </si>
  <si>
    <t>食堂、宿舍</t>
    <phoneticPr fontId="143" type="noConversion"/>
  </si>
  <si>
    <t>食堂</t>
    <phoneticPr fontId="143" type="noConversion"/>
  </si>
  <si>
    <t>商业、车间、办公</t>
    <phoneticPr fontId="143" type="noConversion"/>
  </si>
  <si>
    <t>6层</t>
    <phoneticPr fontId="143" type="noConversion"/>
  </si>
  <si>
    <t>深房地字第6000298223号</t>
    <phoneticPr fontId="143" type="noConversion"/>
  </si>
  <si>
    <t>G06318-112</t>
    <phoneticPr fontId="143" type="noConversion"/>
  </si>
  <si>
    <t>百门前工业区7#厂房</t>
    <phoneticPr fontId="143" type="noConversion"/>
  </si>
  <si>
    <t>2015年1月29日抵押给中国康富国际租赁有限公司，编号6D15002933</t>
  </si>
  <si>
    <t>7#厂房</t>
    <phoneticPr fontId="143" type="noConversion"/>
  </si>
  <si>
    <t>百门前工业区8#厂房</t>
  </si>
  <si>
    <t>8#厂房</t>
  </si>
  <si>
    <t>百门前工业区11#宿舍</t>
    <phoneticPr fontId="143" type="noConversion"/>
  </si>
  <si>
    <t>工业宿舍</t>
    <phoneticPr fontId="143" type="noConversion"/>
  </si>
  <si>
    <t>11#宿舍</t>
    <phoneticPr fontId="143" type="noConversion"/>
  </si>
  <si>
    <t>百门前工业区20#宿舍</t>
    <phoneticPr fontId="143" type="noConversion"/>
  </si>
  <si>
    <t>20#宿舍</t>
    <phoneticPr fontId="143" type="noConversion"/>
  </si>
  <si>
    <t>百门前工业区9#宿舍</t>
    <phoneticPr fontId="143" type="noConversion"/>
  </si>
  <si>
    <t>配套宿舍</t>
    <phoneticPr fontId="143" type="noConversion"/>
  </si>
  <si>
    <t>9#宿舍</t>
    <phoneticPr fontId="143" type="noConversion"/>
  </si>
  <si>
    <t>百门前工业区9#厂房</t>
    <phoneticPr fontId="143" type="noConversion"/>
  </si>
  <si>
    <t>9#厂房</t>
    <phoneticPr fontId="143" type="noConversion"/>
  </si>
  <si>
    <t>深房地字第6000298237号</t>
    <phoneticPr fontId="143" type="noConversion"/>
  </si>
  <si>
    <t>G06318-0003</t>
    <phoneticPr fontId="143" type="noConversion"/>
  </si>
  <si>
    <t>仓库8栋</t>
    <phoneticPr fontId="143" type="noConversion"/>
  </si>
  <si>
    <t>仓库楼</t>
    <phoneticPr fontId="143" type="noConversion"/>
  </si>
  <si>
    <t>1层局部商业，其余车间、办公、仓库</t>
    <phoneticPr fontId="143" type="noConversion"/>
  </si>
  <si>
    <t>5层</t>
    <phoneticPr fontId="143" type="noConversion"/>
  </si>
  <si>
    <t>深房地字第6000298204号</t>
    <phoneticPr fontId="143" type="noConversion"/>
  </si>
  <si>
    <t>G06318-0105</t>
    <phoneticPr fontId="143" type="noConversion"/>
  </si>
  <si>
    <t>10#职工宿舍</t>
    <phoneticPr fontId="143" type="noConversion"/>
  </si>
  <si>
    <t>10#宿舍</t>
    <phoneticPr fontId="143" type="noConversion"/>
  </si>
  <si>
    <t>深房地字第6000298207号</t>
    <phoneticPr fontId="143" type="noConversion"/>
  </si>
  <si>
    <t>G06318-0106</t>
    <phoneticPr fontId="143" type="noConversion"/>
  </si>
  <si>
    <t>职工宿舍12栋</t>
    <phoneticPr fontId="143" type="noConversion"/>
  </si>
  <si>
    <t>12#宿舍</t>
    <phoneticPr fontId="143" type="noConversion"/>
  </si>
  <si>
    <t>深房地字第6000298206号</t>
    <phoneticPr fontId="143" type="noConversion"/>
  </si>
  <si>
    <t>G06318-0100</t>
    <phoneticPr fontId="143" type="noConversion"/>
  </si>
  <si>
    <t>沙湾百门前工业区</t>
    <phoneticPr fontId="143" type="noConversion"/>
  </si>
  <si>
    <t>职工宿舍13栋</t>
  </si>
  <si>
    <t>13#宿舍</t>
    <phoneticPr fontId="143" type="noConversion"/>
  </si>
  <si>
    <t>深房地字第6000298205号</t>
    <phoneticPr fontId="143" type="noConversion"/>
  </si>
  <si>
    <t>G06318-0103</t>
    <phoneticPr fontId="143" type="noConversion"/>
  </si>
  <si>
    <t>14#职工宿舍</t>
    <phoneticPr fontId="143" type="noConversion"/>
  </si>
  <si>
    <t>14#宿舍</t>
  </si>
  <si>
    <t>深房地字第6000298210号</t>
    <phoneticPr fontId="143" type="noConversion"/>
  </si>
  <si>
    <t>G06318-0104</t>
    <phoneticPr fontId="143" type="noConversion"/>
  </si>
  <si>
    <t>15#职工宿舍</t>
  </si>
  <si>
    <t>15#宿舍</t>
  </si>
  <si>
    <t>深房地字第6000298229号</t>
    <phoneticPr fontId="143" type="noConversion"/>
  </si>
  <si>
    <t>G06318-0356</t>
    <phoneticPr fontId="143" type="noConversion"/>
  </si>
  <si>
    <t>龙岗区布吉镇沙湾百门前工业区</t>
    <phoneticPr fontId="143" type="noConversion"/>
  </si>
  <si>
    <t>16#职工宿舍共七层</t>
    <phoneticPr fontId="143" type="noConversion"/>
  </si>
  <si>
    <t>生产配套</t>
    <phoneticPr fontId="143" type="noConversion"/>
  </si>
  <si>
    <t>16#宿舍</t>
  </si>
  <si>
    <t>深房地字第6000298216号</t>
    <phoneticPr fontId="143" type="noConversion"/>
  </si>
  <si>
    <t>G06318-0102</t>
    <phoneticPr fontId="143" type="noConversion"/>
  </si>
  <si>
    <t>A幢宿舍</t>
    <phoneticPr fontId="143" type="noConversion"/>
  </si>
  <si>
    <t>A#宿舍</t>
    <phoneticPr fontId="143" type="noConversion"/>
  </si>
  <si>
    <t>深房地字第6000298215号</t>
    <phoneticPr fontId="143" type="noConversion"/>
  </si>
  <si>
    <t>G06318-0101</t>
    <phoneticPr fontId="143" type="noConversion"/>
  </si>
  <si>
    <t>B幢宿舍共六层</t>
    <phoneticPr fontId="143" type="noConversion"/>
  </si>
  <si>
    <t>B#宿舍</t>
    <phoneticPr fontId="143" type="noConversion"/>
  </si>
  <si>
    <t>深房地字第6000298233号</t>
    <phoneticPr fontId="143" type="noConversion"/>
  </si>
  <si>
    <t>G06318-0004</t>
    <phoneticPr fontId="143" type="noConversion"/>
  </si>
  <si>
    <t>布吉镇百门前工业区</t>
    <phoneticPr fontId="143" type="noConversion"/>
  </si>
  <si>
    <t>宿舍13栋</t>
    <phoneticPr fontId="143" type="noConversion"/>
  </si>
  <si>
    <t>2#住宅</t>
    <phoneticPr fontId="143" type="noConversion"/>
  </si>
  <si>
    <t>有</t>
    <phoneticPr fontId="143" type="noConversion"/>
  </si>
  <si>
    <t>深房地字第6000298238号</t>
    <phoneticPr fontId="143" type="noConversion"/>
  </si>
  <si>
    <t>G06318-0053</t>
    <phoneticPr fontId="143" type="noConversion"/>
  </si>
  <si>
    <t>服务楼</t>
    <phoneticPr fontId="143" type="noConversion"/>
  </si>
  <si>
    <t>综合楼</t>
    <phoneticPr fontId="143" type="noConversion"/>
  </si>
  <si>
    <t>办公楼</t>
    <phoneticPr fontId="143" type="noConversion"/>
  </si>
  <si>
    <t>办公</t>
    <phoneticPr fontId="143" type="noConversion"/>
  </si>
  <si>
    <t>深房地字第6000298208号</t>
    <phoneticPr fontId="143" type="noConversion"/>
  </si>
  <si>
    <t>G06318-57</t>
    <phoneticPr fontId="143" type="noConversion"/>
  </si>
  <si>
    <t>住宅楼13栋共六层</t>
    <phoneticPr fontId="143" type="noConversion"/>
  </si>
  <si>
    <t>1#住宅</t>
    <phoneticPr fontId="143" type="noConversion"/>
  </si>
  <si>
    <t>深房地字第6000298231号</t>
    <phoneticPr fontId="143" type="noConversion"/>
  </si>
  <si>
    <t>G06318-0056</t>
    <phoneticPr fontId="143" type="noConversion"/>
  </si>
  <si>
    <t>小车库1层</t>
    <phoneticPr fontId="143" type="noConversion"/>
  </si>
  <si>
    <t>仓库</t>
    <phoneticPr fontId="143" type="noConversion"/>
  </si>
  <si>
    <t>1层车库，2层餐厅、办公</t>
    <phoneticPr fontId="143" type="noConversion"/>
  </si>
  <si>
    <t>2层</t>
    <phoneticPr fontId="143" type="noConversion"/>
  </si>
  <si>
    <t>深房地字第6000298239号</t>
    <phoneticPr fontId="143" type="noConversion"/>
  </si>
  <si>
    <t>G06318-0049</t>
    <phoneticPr fontId="143" type="noConversion"/>
  </si>
  <si>
    <t>溶剂库</t>
    <phoneticPr fontId="143" type="noConversion"/>
  </si>
  <si>
    <t>1层</t>
    <phoneticPr fontId="143" type="noConversion"/>
  </si>
  <si>
    <t>深房地字第6000298218号</t>
    <phoneticPr fontId="143" type="noConversion"/>
  </si>
  <si>
    <t>G06318-0050</t>
    <phoneticPr fontId="143" type="noConversion"/>
  </si>
  <si>
    <t>高压开关站</t>
    <phoneticPr fontId="143" type="noConversion"/>
  </si>
  <si>
    <t>深房地字第6000298234号</t>
    <phoneticPr fontId="143" type="noConversion"/>
  </si>
  <si>
    <t>G06318-0107</t>
    <phoneticPr fontId="143" type="noConversion"/>
  </si>
  <si>
    <t>水泵房1</t>
    <phoneticPr fontId="143" type="noConversion"/>
  </si>
  <si>
    <t>合计</t>
    <phoneticPr fontId="143" type="noConversion"/>
  </si>
  <si>
    <t>郑燚</t>
  </si>
  <si>
    <t>王鹏</t>
  </si>
  <si>
    <t>五矿国际信托有限公司</t>
    <phoneticPr fontId="6" type="noConversion"/>
  </si>
  <si>
    <t>广东省</t>
    <phoneticPr fontId="3" type="noConversion"/>
  </si>
  <si>
    <t>深圳市中住汇智实业有限公司</t>
    <phoneticPr fontId="3" type="noConversion"/>
  </si>
  <si>
    <t>深圳市龙岗区布吉镇沙湾“百门前工业区”工业项目局部</t>
    <phoneticPr fontId="3" type="noConversion"/>
  </si>
  <si>
    <t>其他：</t>
  </si>
  <si>
    <t>企业</t>
  </si>
  <si>
    <t>抵押</t>
  </si>
  <si>
    <t>房地产抵押价值</t>
  </si>
  <si>
    <t>已注销及未注销</t>
  </si>
  <si>
    <t>出让</t>
  </si>
  <si>
    <r>
      <rPr>
        <sz val="12"/>
        <color theme="9" tint="-0.249977111117893"/>
        <rFont val="宋体"/>
        <family val="3"/>
        <charset val="134"/>
      </rPr>
      <t>工业</t>
    </r>
    <r>
      <rPr>
        <sz val="12"/>
        <color theme="9" tint="-0.249977111117893"/>
        <rFont val="Arial"/>
        <family val="2"/>
      </rPr>
      <t>22.76</t>
    </r>
    <r>
      <rPr>
        <sz val="12"/>
        <color theme="9" tint="-0.249977111117893"/>
        <rFont val="宋体"/>
        <family val="3"/>
        <charset val="134"/>
      </rPr>
      <t>年</t>
    </r>
    <phoneticPr fontId="6" type="noConversion"/>
  </si>
  <si>
    <r>
      <rPr>
        <sz val="12"/>
        <color theme="9" tint="-0.249977111117893"/>
        <rFont val="宋体"/>
        <family val="3"/>
        <charset val="134"/>
      </rPr>
      <t>《房地产证》[深房地字第6000298230号]等共32本</t>
    </r>
    <phoneticPr fontId="3" type="noConversion"/>
  </si>
  <si>
    <t>否</t>
  </si>
  <si>
    <t>复印件</t>
  </si>
  <si>
    <t>中国康富国际租赁有限公司</t>
    <phoneticPr fontId="3" type="noConversion"/>
  </si>
  <si>
    <t>工业项目</t>
  </si>
  <si>
    <t>通路</t>
  </si>
  <si>
    <t>通电</t>
  </si>
  <si>
    <t>通讯</t>
  </si>
  <si>
    <t>通上水</t>
  </si>
  <si>
    <t>通下水</t>
  </si>
  <si>
    <t>未包含在土地购买价格中</t>
  </si>
  <si>
    <t>已包含在土地取得成本中</t>
  </si>
  <si>
    <t>按租金收入计税</t>
  </si>
  <si>
    <t>钢混</t>
  </si>
  <si>
    <t>收益法（厂房）</t>
  </si>
  <si>
    <t>收益法（宿舍）</t>
  </si>
  <si>
    <t>收益法（住宅）</t>
  </si>
  <si>
    <t>宿舍（1#2#）</t>
  </si>
  <si>
    <t>宿舍（1#-20#）</t>
  </si>
  <si>
    <t>砖混</t>
  </si>
  <si>
    <t>非生产用房</t>
  </si>
  <si>
    <t>成新度</t>
  </si>
  <si>
    <t>厂房</t>
    <phoneticPr fontId="143" type="noConversion"/>
  </si>
  <si>
    <t>宿舍</t>
    <phoneticPr fontId="143" type="noConversion"/>
  </si>
  <si>
    <t>配套</t>
    <phoneticPr fontId="143" type="noConversion"/>
  </si>
  <si>
    <t>合计</t>
    <phoneticPr fontId="143" type="noConversion"/>
  </si>
  <si>
    <t>深圳监测指标情况一览表（工业用途）</t>
    <phoneticPr fontId="143" type="noConversion"/>
  </si>
  <si>
    <t>时间</t>
  </si>
  <si>
    <t>水平值</t>
  </si>
  <si>
    <t>环比增长率</t>
  </si>
  <si>
    <t>http://sz.ganji.com/fangchan/37512804537243x.shtml</t>
    <phoneticPr fontId="143" type="noConversion"/>
  </si>
  <si>
    <t>5.租赁合同台账2019-02.xlsx</t>
  </si>
  <si>
    <t>租金</t>
    <phoneticPr fontId="143" type="noConversion"/>
  </si>
  <si>
    <t>登记价单价</t>
    <phoneticPr fontId="143" type="noConversion"/>
  </si>
  <si>
    <t>建成年代</t>
    <phoneticPr fontId="143" type="noConversion"/>
  </si>
  <si>
    <t>成新度</t>
    <phoneticPr fontId="143" type="noConversion"/>
  </si>
  <si>
    <t>用途</t>
    <phoneticPr fontId="143" type="noConversion"/>
  </si>
  <si>
    <t>厂房及宿舍</t>
  </si>
  <si>
    <t>厂房及宿舍</t>
    <phoneticPr fontId="7" type="noConversion"/>
  </si>
  <si>
    <t>厂房</t>
    <phoneticPr fontId="143" type="noConversion"/>
  </si>
  <si>
    <t>厂房</t>
    <phoneticPr fontId="143" type="noConversion"/>
  </si>
  <si>
    <t>宿舍</t>
    <phoneticPr fontId="143" type="noConversion"/>
  </si>
  <si>
    <t>配套</t>
  </si>
  <si>
    <t>收益法</t>
  </si>
  <si>
    <t>地块名称</t>
  </si>
  <si>
    <t>城市</t>
  </si>
  <si>
    <t>用地性质</t>
  </si>
  <si>
    <t>板块</t>
  </si>
  <si>
    <t>土地位置</t>
  </si>
  <si>
    <t>出让方式</t>
  </si>
  <si>
    <t>地块编号</t>
  </si>
  <si>
    <t>详细规划</t>
  </si>
  <si>
    <t>建设用地面积(㎡)</t>
  </si>
  <si>
    <t>规划建筑面积(㎡)</t>
  </si>
  <si>
    <t>容积率</t>
  </si>
  <si>
    <t>成交日期</t>
  </si>
  <si>
    <t>公告编号</t>
  </si>
  <si>
    <t>受让单位</t>
  </si>
  <si>
    <t>成交价(万元)</t>
  </si>
  <si>
    <t>成交每亩价(万元/亩)</t>
  </si>
  <si>
    <t>成交楼面价(元/㎡)</t>
  </si>
  <si>
    <t>溢价率</t>
  </si>
  <si>
    <t>出让年限</t>
  </si>
  <si>
    <t>土地星级</t>
  </si>
  <si>
    <t>龙岗区坪地国际低碳城</t>
  </si>
  <si>
    <t>深圳市</t>
  </si>
  <si>
    <t>工业用地</t>
  </si>
  <si>
    <t>挂牌</t>
  </si>
  <si>
    <t>G10221-0606</t>
  </si>
  <si>
    <t>2018-12-24</t>
  </si>
  <si>
    <t>深土交告〔2018〕37号</t>
  </si>
  <si>
    <t>深圳市裕富照明有限公司、深圳市光祥科技股份有限公司</t>
  </si>
  <si>
    <t>20年</t>
  </si>
  <si>
    <t>0星</t>
  </si>
  <si>
    <t>龙岗区宝龙街道</t>
  </si>
  <si>
    <t>G02203-0013</t>
  </si>
  <si>
    <t>深土交告〔2018〕36号</t>
  </si>
  <si>
    <t>深圳市永联科技股份有限公司</t>
  </si>
  <si>
    <t>坪地国际低碳城</t>
  </si>
  <si>
    <t>G10224*-0258</t>
  </si>
  <si>
    <t>工业用地(新型产业用地)</t>
  </si>
  <si>
    <t>2018-07-24</t>
  </si>
  <si>
    <t>深土交告〔2018〕5号</t>
  </si>
  <si>
    <t>威圳航空科技深圳有限公司</t>
  </si>
  <si>
    <t>龙岗区平湖街道白坭坑社区丹农路</t>
  </si>
  <si>
    <t>G05601-0273</t>
  </si>
  <si>
    <t>仓储用地</t>
  </si>
  <si>
    <t>2018-01-15</t>
  </si>
  <si>
    <t>深土交告〔2017〕31号</t>
  </si>
  <si>
    <t>深圳市海吉星环保有限责任公司</t>
  </si>
  <si>
    <t>30年</t>
  </si>
  <si>
    <t>G05601-0274</t>
  </si>
  <si>
    <t>深圳市运通致远冷链管理有限责任公司</t>
  </si>
  <si>
    <t>龙岗区丹荷大道与宝龙二路交叉处</t>
  </si>
  <si>
    <t>龙岗区丹荷大道与宝龙二路交叉处东南侧新能源基地内</t>
  </si>
  <si>
    <t>G02203-0012</t>
  </si>
  <si>
    <t>普通工业用地</t>
  </si>
  <si>
    <t>≤3.0</t>
  </si>
  <si>
    <t>2017-11-30</t>
  </si>
  <si>
    <t>深土交告〔2017〕23号</t>
  </si>
  <si>
    <t>深圳市英可瑞科技股份有限公司</t>
  </si>
  <si>
    <t>龙岗平湖金融与现代服务业基地</t>
  </si>
  <si>
    <t>G04207-0163</t>
  </si>
  <si>
    <t>新一代信息技术产业</t>
  </si>
  <si>
    <t>2017-03-31</t>
  </si>
  <si>
    <t>深土交告〔2017〕4号</t>
  </si>
  <si>
    <t>百富计算机技术(深圳)有限公司</t>
  </si>
  <si>
    <t>2星</t>
  </si>
  <si>
    <t>G04207-0164</t>
  </si>
  <si>
    <t>低碳节能环保产业</t>
  </si>
  <si>
    <t>深圳文科园林股份有限公司</t>
  </si>
  <si>
    <t>G04203-0108</t>
  </si>
  <si>
    <t>金融业</t>
  </si>
  <si>
    <t>民太安保险公估集团股份有限公司,民太安财产保险公估股份有限公司</t>
  </si>
  <si>
    <t>G04203-0107</t>
  </si>
  <si>
    <t>可穿戴设备</t>
  </si>
  <si>
    <t>深圳市宏电技术股份有限公司</t>
  </si>
  <si>
    <t>G04207-0162</t>
  </si>
  <si>
    <t>深圳市聚飞光电股份有限公司</t>
  </si>
  <si>
    <t>龙岗区坪地街道</t>
  </si>
  <si>
    <t>G10221-0601</t>
  </si>
  <si>
    <t>新型屏显示器件(新型柔性显示)</t>
  </si>
  <si>
    <t>≤4.0</t>
  </si>
  <si>
    <t>2016-10-27</t>
  </si>
  <si>
    <t>深土交告〔2016〕19号</t>
  </si>
  <si>
    <t>深圳柔宇显示技术有限公司</t>
  </si>
  <si>
    <t>龙岗区坂田街道</t>
  </si>
  <si>
    <t>招标</t>
  </si>
  <si>
    <t>G03603-0047</t>
  </si>
  <si>
    <t>2016-06-15</t>
  </si>
  <si>
    <t>深土交告〔2016〕11号</t>
  </si>
  <si>
    <t>深圳市铁汉生态环境股份有限公司</t>
  </si>
  <si>
    <t>龙岗区布吉街道</t>
  </si>
  <si>
    <t>G06103-0119</t>
  </si>
  <si>
    <t>一类工业用地</t>
  </si>
  <si>
    <t>深圳市联创三明电器有限公司</t>
  </si>
  <si>
    <t>龙岗区宝龙工业城</t>
  </si>
  <si>
    <t>G02302-0018</t>
  </si>
  <si>
    <t>深圳市核达中远通电源技术有限公司</t>
  </si>
  <si>
    <t>G02305-0015</t>
  </si>
  <si>
    <t>2016-05-31</t>
  </si>
  <si>
    <t>深土交告〔2016〕9号</t>
  </si>
  <si>
    <t>中广核研究院有限公司</t>
  </si>
  <si>
    <t>G02305-0014</t>
  </si>
  <si>
    <t>龙岗区阿波罗工业园</t>
  </si>
  <si>
    <t>G08409-0091</t>
  </si>
  <si>
    <t>2016-03-04</t>
  </si>
  <si>
    <t>深土交告〔2016〕2号</t>
  </si>
  <si>
    <t>深圳联合飞机科技有限公司</t>
  </si>
  <si>
    <t>G08404-0080</t>
  </si>
  <si>
    <t>邦彦技术股份有限公司</t>
  </si>
  <si>
    <t>G08404-0081</t>
  </si>
  <si>
    <t>龙岗区宝龙工业区</t>
  </si>
  <si>
    <t>G02302-0012</t>
  </si>
  <si>
    <t>2015-12-23</t>
  </si>
  <si>
    <t>深土交告〔2015〕27号</t>
  </si>
  <si>
    <t>深圳市钻通工程机械股份有限公司</t>
  </si>
  <si>
    <t>G03606-0115</t>
  </si>
  <si>
    <t>深圳市鹏润达市政工程有限公司</t>
  </si>
  <si>
    <t>G03603-0046</t>
  </si>
  <si>
    <t>工业用地(新型产业用地</t>
  </si>
  <si>
    <t>深圳市经纬通信技术有限公司</t>
  </si>
  <si>
    <t>G03603-0048</t>
  </si>
  <si>
    <t>深圳市梦网科技发展有限公司</t>
  </si>
  <si>
    <t>龙岗区南湾街道</t>
  </si>
  <si>
    <t>G04410-0301</t>
  </si>
  <si>
    <t>2015-12-15</t>
  </si>
  <si>
    <t>深土交告(2015)24号</t>
  </si>
  <si>
    <t>深圳市东方金钰珠宝实业有限公司</t>
  </si>
  <si>
    <t>龙岗区龙岗街道</t>
  </si>
  <si>
    <t>G02302-0013</t>
  </si>
  <si>
    <t>深圳市亚辉龙生物科技股份有限公司</t>
  </si>
  <si>
    <t>G02302-0017</t>
  </si>
  <si>
    <t>深圳威迈斯电源有限公司</t>
  </si>
  <si>
    <t>龙岗区横岗街道</t>
  </si>
  <si>
    <t>G08409-0090</t>
  </si>
  <si>
    <t>新型产业用地+普通工业用地+公共绿地+道路</t>
  </si>
  <si>
    <t>2015-09-16</t>
  </si>
  <si>
    <t>深土交告〔2015〕15号</t>
  </si>
  <si>
    <t>深圳智飞登科技有限公司</t>
  </si>
  <si>
    <t>G10224-0257</t>
  </si>
  <si>
    <t>2015-07-24</t>
  </si>
  <si>
    <t>深土交告(2015)9号</t>
  </si>
  <si>
    <t>深圳市建筑科学研究院股份有限公司</t>
  </si>
  <si>
    <t>龙岗区平湖金融与现代服务业基地</t>
  </si>
  <si>
    <t>G04202-0045</t>
  </si>
  <si>
    <t>2015-07-10</t>
  </si>
  <si>
    <t>深土交告(2015)8号</t>
  </si>
  <si>
    <t>深圳华科育成科技开发有限公司</t>
  </si>
  <si>
    <t>G04202-0044</t>
  </si>
  <si>
    <t>龙华区观澜街道</t>
  </si>
  <si>
    <t>A920-0233</t>
  </si>
  <si>
    <t>2018-12-12</t>
  </si>
  <si>
    <t>深土交告〔2018〕33号</t>
  </si>
  <si>
    <t>深圳市泰衡诺科技有限公司</t>
  </si>
  <si>
    <t>A920-0232</t>
  </si>
  <si>
    <t>深圳利亚德光电有限公司</t>
  </si>
  <si>
    <t>龙华区民治街道</t>
  </si>
  <si>
    <t>A810-0035</t>
  </si>
  <si>
    <t>2018-01-25</t>
  </si>
  <si>
    <t>深土交告〔2017〕33号</t>
  </si>
  <si>
    <t>天马微电子股份有限公司</t>
  </si>
  <si>
    <t>龙华区福城街道</t>
  </si>
  <si>
    <t>A913-0131</t>
  </si>
  <si>
    <t>深圳大唐宝昌燃气发电有限公司</t>
  </si>
  <si>
    <t>龙华区观湖办事处</t>
  </si>
  <si>
    <t>A909-0152</t>
  </si>
  <si>
    <t>≤6.0</t>
  </si>
  <si>
    <t>2017-09-07</t>
  </si>
  <si>
    <t>深土交告〔2017〕17号</t>
  </si>
  <si>
    <t>深圳普门科技有限公司</t>
  </si>
  <si>
    <t>龙华新区观澜办事处</t>
  </si>
  <si>
    <t>A925-1143</t>
  </si>
  <si>
    <t>2016-06-21</t>
  </si>
  <si>
    <t>深土交告〔2016〕12号</t>
  </si>
  <si>
    <t>深圳市银星数码有限公司</t>
  </si>
  <si>
    <t>盐田区盐田港后方陆域</t>
  </si>
  <si>
    <t>≤2.5</t>
  </si>
  <si>
    <t>2018-11-29</t>
  </si>
  <si>
    <t>深圳市九明药业有限公司</t>
  </si>
  <si>
    <t>J312-0312</t>
  </si>
  <si>
    <t>深土交告〔2018〕27号</t>
  </si>
  <si>
    <t>正常</t>
  </si>
  <si>
    <t>楼面地价</t>
  </si>
  <si>
    <t>工业仓储</t>
  </si>
  <si>
    <t>深圳市人民政府关于印发工业及其他产业用地供应管理办法（试行）的通知</t>
    <phoneticPr fontId="143" type="noConversion"/>
  </si>
  <si>
    <t>http://www.sz.gov.cn/zfgb/2016/gb978/201611/t20161108_5261552.htm</t>
    <phoneticPr fontId="143" type="noConversion"/>
  </si>
  <si>
    <t>http://www.sz.gov.cn/zfgb/2013/gb820/201301/t20130123_2103280.htm</t>
    <phoneticPr fontId="143" type="noConversion"/>
  </si>
  <si>
    <t>深圳市规划和国土资源委员会关于印发《深圳市宗地地价测算规则（试行）》的通知</t>
    <phoneticPr fontId="143" type="noConversion"/>
  </si>
  <si>
    <t>中广核研究院有限公司</t>
    <phoneticPr fontId="143" type="noConversion"/>
  </si>
  <si>
    <t>较好</t>
  </si>
  <si>
    <t>一般</t>
  </si>
  <si>
    <t>六通</t>
  </si>
  <si>
    <t>较规则</t>
  </si>
  <si>
    <t>较规则</t>
    <phoneticPr fontId="33" type="noConversion"/>
  </si>
  <si>
    <t>五通一平</t>
  </si>
  <si>
    <t>五通一平</t>
    <phoneticPr fontId="33" type="noConversion"/>
  </si>
  <si>
    <t>较好</t>
    <phoneticPr fontId="33" type="noConversion"/>
  </si>
  <si>
    <t>https://sf-item.taobao.com/sf_item/578474329805.htm?spm=a213w.999999.noticeDetail.1.43f534cdI9Mi9D</t>
    <phoneticPr fontId="143" type="noConversion"/>
  </si>
  <si>
    <t>序号</t>
  </si>
  <si>
    <t>租赁区域</t>
  </si>
  <si>
    <t>楼层</t>
  </si>
  <si>
    <t>铺位编号</t>
  </si>
  <si>
    <t>业态</t>
  </si>
  <si>
    <t>业种</t>
  </si>
  <si>
    <t>品牌名称</t>
  </si>
  <si>
    <t>签约名称(公司/个人）</t>
  </si>
  <si>
    <t>市场负责人</t>
  </si>
  <si>
    <t>职位</t>
  </si>
  <si>
    <t>电话</t>
  </si>
  <si>
    <t>公司地址</t>
  </si>
  <si>
    <t>合同面积㎡</t>
  </si>
  <si>
    <t>合同期间</t>
  </si>
  <si>
    <t>HTB_HTZT</t>
  </si>
  <si>
    <t>合同年限</t>
  </si>
  <si>
    <t>保证金</t>
  </si>
  <si>
    <t>是否已交</t>
  </si>
  <si>
    <t>首年月租金平效(元/平米/月)</t>
  </si>
  <si>
    <t>首年月租金</t>
  </si>
  <si>
    <t>租金递增规定</t>
  </si>
  <si>
    <t>租金支付方式</t>
  </si>
  <si>
    <t>物管费(元/平米/月)</t>
  </si>
  <si>
    <t>首年物管费</t>
  </si>
  <si>
    <t>物管费支付方式</t>
  </si>
  <si>
    <t>装修免租期</t>
  </si>
  <si>
    <t>合同交房日期</t>
  </si>
  <si>
    <t>实际交房日</t>
  </si>
  <si>
    <t>合同租金起算日</t>
  </si>
  <si>
    <t>实际开业日</t>
  </si>
  <si>
    <t>应付租金</t>
  </si>
  <si>
    <t>实付租金</t>
  </si>
  <si>
    <t>应付物管费</t>
  </si>
  <si>
    <t>实付物管费</t>
  </si>
  <si>
    <t>应付水电费</t>
  </si>
  <si>
    <t>实付水电费</t>
  </si>
  <si>
    <t>应付款合计</t>
  </si>
  <si>
    <t>实付款合计</t>
  </si>
  <si>
    <t>备注</t>
  </si>
  <si>
    <t>1#厂房</t>
  </si>
  <si>
    <t xml:space="preserve"> 整</t>
  </si>
  <si>
    <t>厂房</t>
  </si>
  <si>
    <t/>
  </si>
  <si>
    <t>深圳市佳百隆实业有限公司</t>
  </si>
  <si>
    <t>朱玉球</t>
  </si>
  <si>
    <t>13802208776</t>
  </si>
  <si>
    <t>1#厂房整栋</t>
  </si>
  <si>
    <t>2015-12-01--2030-11-30</t>
  </si>
  <si>
    <t>正常履行</t>
  </si>
  <si>
    <t>已交</t>
  </si>
  <si>
    <t>月缴</t>
  </si>
  <si>
    <t>2015-12-01</t>
  </si>
  <si>
    <t>深圳市宝福和文化传播有限公司</t>
  </si>
  <si>
    <t>卢向东</t>
  </si>
  <si>
    <t>13824306706</t>
  </si>
  <si>
    <t>2#厂房整栋</t>
  </si>
  <si>
    <t>2016-08-01--2021-07-31</t>
  </si>
  <si>
    <t>2016-08-01</t>
  </si>
  <si>
    <t>3#厂房2层A1</t>
  </si>
  <si>
    <t>未交</t>
  </si>
  <si>
    <t>3#厂房2层东A2</t>
  </si>
  <si>
    <t>深圳市东吉联电子有限公司</t>
  </si>
  <si>
    <t>张宏</t>
  </si>
  <si>
    <t>13603029649</t>
  </si>
  <si>
    <t>3#厂房3A</t>
  </si>
  <si>
    <t>2019-01-01--2019-03-31</t>
  </si>
  <si>
    <t>2019-01-01</t>
  </si>
  <si>
    <t xml:space="preserve"> 5层</t>
  </si>
  <si>
    <t>深圳市宝莎服饰有限公司</t>
  </si>
  <si>
    <t>林小林</t>
  </si>
  <si>
    <t>13802285307</t>
  </si>
  <si>
    <t>3#厂房5层</t>
  </si>
  <si>
    <t>2018-11-01--2019-03-31</t>
  </si>
  <si>
    <t>2018-11-01</t>
  </si>
  <si>
    <t>3#厂房7层A</t>
  </si>
  <si>
    <t>深圳市双品实业有限公司</t>
  </si>
  <si>
    <t>廖成林</t>
  </si>
  <si>
    <t>18676663338</t>
  </si>
  <si>
    <t>4#厂房4层东A</t>
  </si>
  <si>
    <t>2016-08-01--2019-07-31</t>
  </si>
  <si>
    <t>深圳市金诺威电子有限公司</t>
  </si>
  <si>
    <t>廖长林</t>
  </si>
  <si>
    <t>18676691999</t>
  </si>
  <si>
    <t>4#厂房4层东B</t>
  </si>
  <si>
    <t>2016-09-01--2019-08-31</t>
  </si>
  <si>
    <t>2016-09-01</t>
  </si>
  <si>
    <t>深圳市肯逊服装服饰有限公司</t>
  </si>
  <si>
    <t>彭锡弟</t>
  </si>
  <si>
    <t>13510845988</t>
  </si>
  <si>
    <t>4#厂房4层C</t>
  </si>
  <si>
    <t>2018-06-01--2019-05-31</t>
  </si>
  <si>
    <t>2018-06-01</t>
  </si>
  <si>
    <t>张银燕服装公司</t>
  </si>
  <si>
    <t>张银燕</t>
  </si>
  <si>
    <t>15012553686</t>
  </si>
  <si>
    <t>4#厂房4层D</t>
  </si>
  <si>
    <t>CF04-6F-A</t>
  </si>
  <si>
    <t>鹰智时装（深圳）有限公司</t>
  </si>
  <si>
    <t>李必强</t>
  </si>
  <si>
    <t>18682466683</t>
  </si>
  <si>
    <t>4#厂房6层A</t>
  </si>
  <si>
    <t>2019-01-01--2019-12-31</t>
  </si>
  <si>
    <t>CF04-6F-B</t>
  </si>
  <si>
    <t>历兴服饰（深圳）有限公司</t>
  </si>
  <si>
    <t>4#厂房6层B</t>
  </si>
  <si>
    <t>CF04-6F-C</t>
  </si>
  <si>
    <t>深圳周敏电子商务公司</t>
  </si>
  <si>
    <t>周敏</t>
  </si>
  <si>
    <t>18951102717</t>
  </si>
  <si>
    <t>4#厂房6层C</t>
  </si>
  <si>
    <t>2015-12-11--2019-11-30</t>
  </si>
  <si>
    <t>2015-12-11</t>
  </si>
  <si>
    <t>6#厂房</t>
  </si>
  <si>
    <t>CF06-1F-A</t>
  </si>
  <si>
    <t>深圳市威佳实业有限公司</t>
  </si>
  <si>
    <t>赵凤道</t>
  </si>
  <si>
    <t>13823579518</t>
  </si>
  <si>
    <t>6#厂房1层A</t>
  </si>
  <si>
    <t>CF06-1F-B</t>
  </si>
  <si>
    <t>深圳市荣兴润不锈钢制品有限公司</t>
  </si>
  <si>
    <t>林表芳</t>
  </si>
  <si>
    <t>13662645839</t>
  </si>
  <si>
    <t>6#厂房1层B</t>
  </si>
  <si>
    <t>2018-01-01--2019-12-31</t>
  </si>
  <si>
    <t>2018-01-01</t>
  </si>
  <si>
    <t>CF06-1F-C</t>
  </si>
  <si>
    <t>深圳市兴居青铜文化装饰设计工程有限公司</t>
  </si>
  <si>
    <t>6#厂房1层C</t>
  </si>
  <si>
    <t>CF06-1F-D</t>
  </si>
  <si>
    <t>深圳市兴居铜门科技有限公司</t>
  </si>
  <si>
    <t>6#厂房1层D</t>
  </si>
  <si>
    <t>CF06-3F-A</t>
  </si>
  <si>
    <t>深圳市励高服装有限公司</t>
  </si>
  <si>
    <t>罗彩群</t>
  </si>
  <si>
    <t>13602664991</t>
  </si>
  <si>
    <t>6#厂房3层A</t>
  </si>
  <si>
    <t>2015-09-01--2019-08-31</t>
  </si>
  <si>
    <t>2015-09-01</t>
  </si>
  <si>
    <t>CF06-3F-B</t>
  </si>
  <si>
    <t>深圳市学立佳教育科技有限公司</t>
  </si>
  <si>
    <t>刘春销</t>
  </si>
  <si>
    <t>13923852528</t>
  </si>
  <si>
    <t>6#厂房3层B</t>
  </si>
  <si>
    <t>CF06-4F-A</t>
  </si>
  <si>
    <t>深圳市妈妈好帮厨贸易有限公司</t>
  </si>
  <si>
    <t>郑晓青</t>
  </si>
  <si>
    <t>15018984449</t>
  </si>
  <si>
    <t>6#厂房4层A</t>
  </si>
  <si>
    <t>CF06-4F-B</t>
  </si>
  <si>
    <t>深圳市阿兹尼服饰有限公司</t>
  </si>
  <si>
    <t>周国锋</t>
  </si>
  <si>
    <t>13352993887</t>
  </si>
  <si>
    <t>6#厂房4层B</t>
  </si>
  <si>
    <t>CF06-4F-C</t>
  </si>
  <si>
    <t>深圳市优德尚品有限公司</t>
  </si>
  <si>
    <t>胡丽莎</t>
  </si>
  <si>
    <t>18319010986</t>
  </si>
  <si>
    <t>6#厂房4层C</t>
  </si>
  <si>
    <t>2018-08-01--2019-07-31</t>
  </si>
  <si>
    <t>2018-08-01</t>
  </si>
  <si>
    <t>CF06-5F-A</t>
  </si>
  <si>
    <t>优联科技（深圳）有限公司</t>
  </si>
  <si>
    <t>胡军</t>
  </si>
  <si>
    <t>13538153601</t>
  </si>
  <si>
    <t>6#厂房5层A</t>
  </si>
  <si>
    <t>CF06-5F-B</t>
  </si>
  <si>
    <t>深圳市麦芽科技有限公司</t>
  </si>
  <si>
    <t>许宽野</t>
  </si>
  <si>
    <t>13902456184</t>
  </si>
  <si>
    <t>6#厂房5层B</t>
  </si>
  <si>
    <t>2015-09-01--2019-07-31</t>
  </si>
  <si>
    <t>CF06-6F-A</t>
  </si>
  <si>
    <t>6#厂房6层A</t>
  </si>
  <si>
    <t>2018-07-01--2019-07-31</t>
  </si>
  <si>
    <t>2018-07-01</t>
  </si>
  <si>
    <t>CF06-6F-B</t>
  </si>
  <si>
    <t>深圳市睿益科技有限公司</t>
  </si>
  <si>
    <t>张民法</t>
  </si>
  <si>
    <t>15013503343</t>
  </si>
  <si>
    <t>6#厂房6层B</t>
  </si>
  <si>
    <t>2017-02-01--2019-07-31</t>
  </si>
  <si>
    <t>2017-02-01</t>
  </si>
  <si>
    <t>CF06-7F-A</t>
  </si>
  <si>
    <t>深圳市朗艺时装有限责任公司</t>
  </si>
  <si>
    <t>张中华</t>
  </si>
  <si>
    <t>15013431988</t>
  </si>
  <si>
    <t>6#厂房7层A</t>
  </si>
  <si>
    <t>CF06-7F-B</t>
  </si>
  <si>
    <t>深圳市时尚联盟时装有限公司</t>
  </si>
  <si>
    <t>巢文</t>
  </si>
  <si>
    <t>13574811988</t>
  </si>
  <si>
    <t>6#厂房7层B</t>
  </si>
  <si>
    <t>7#厂房</t>
  </si>
  <si>
    <t>CF07-1F-A</t>
  </si>
  <si>
    <t>深圳市百财产业园运营有限公司</t>
  </si>
  <si>
    <t>黄星恒</t>
  </si>
  <si>
    <t>13602526152</t>
  </si>
  <si>
    <t>7#厂房1层A</t>
  </si>
  <si>
    <t>2016-11-16--2019-11-30</t>
  </si>
  <si>
    <t>2016-11-16</t>
  </si>
  <si>
    <t>CF07-1F-B</t>
  </si>
  <si>
    <t>7#厂房1层B</t>
  </si>
  <si>
    <t>2018-07-01--2019-11-30</t>
  </si>
  <si>
    <t>CF07-2F</t>
  </si>
  <si>
    <t>深圳市精信联合服装有限公司</t>
  </si>
  <si>
    <t>梁洪</t>
  </si>
  <si>
    <t>13802578800</t>
  </si>
  <si>
    <t>7#厂房2层</t>
  </si>
  <si>
    <t>CF07-3F-A</t>
  </si>
  <si>
    <t>深圳市鑫君怡服装有限公司</t>
  </si>
  <si>
    <t>丁群</t>
  </si>
  <si>
    <t>13682650010</t>
  </si>
  <si>
    <t>7#厂房3层A</t>
  </si>
  <si>
    <t>CF07-3F-B</t>
  </si>
  <si>
    <t>深圳睿进贸易有限公司</t>
  </si>
  <si>
    <t>7#厂房3层B</t>
  </si>
  <si>
    <t>2017-04-01--2019-03-31</t>
  </si>
  <si>
    <t>2017-04-01</t>
  </si>
  <si>
    <t>CF07-3F-C</t>
  </si>
  <si>
    <t>深圳市三和顺电子科技有限公司</t>
  </si>
  <si>
    <t>7#厂房3层C</t>
  </si>
  <si>
    <t>CF07-4F-A</t>
  </si>
  <si>
    <t>深圳市声表电子有限公司</t>
  </si>
  <si>
    <t>赵腾</t>
  </si>
  <si>
    <t>13631557037</t>
  </si>
  <si>
    <t>7#厂房4层A</t>
  </si>
  <si>
    <t>2018-05-01--2019-04-30</t>
  </si>
  <si>
    <t>手工终止</t>
  </si>
  <si>
    <t>2018-05-01</t>
  </si>
  <si>
    <t>CF07-4F-B</t>
  </si>
  <si>
    <t>深圳市京深创胜电子有限公司</t>
  </si>
  <si>
    <t>7#厂房4层B</t>
  </si>
  <si>
    <t>2017-05-01--2019-04-30</t>
  </si>
  <si>
    <t>2017-05-01</t>
  </si>
  <si>
    <t>CF07-5F-A</t>
  </si>
  <si>
    <t>深圳市城沣实业有限公司</t>
  </si>
  <si>
    <t>曹小姐</t>
  </si>
  <si>
    <t>13510975681</t>
  </si>
  <si>
    <t>7#厂房5层A</t>
  </si>
  <si>
    <t>2018-01-01--2021-09-15</t>
  </si>
  <si>
    <t>CF07-5F-B</t>
  </si>
  <si>
    <t>深圳妙宝文化传播有限公司</t>
  </si>
  <si>
    <t>伍先进</t>
  </si>
  <si>
    <t>13823693711</t>
  </si>
  <si>
    <t>7#厂房5层B</t>
  </si>
  <si>
    <t>2017-06-01--2019-05-31</t>
  </si>
  <si>
    <t>2017-06-01</t>
  </si>
  <si>
    <t>CF07-6F-A</t>
  </si>
  <si>
    <t>深圳市天域达服饰有限公司</t>
  </si>
  <si>
    <t>吴登波</t>
  </si>
  <si>
    <t>13530530306</t>
  </si>
  <si>
    <t>7#厂房6层A</t>
  </si>
  <si>
    <t>CF07-6F-B</t>
  </si>
  <si>
    <t>深圳市新潮灯饰有限公司</t>
  </si>
  <si>
    <t>于冠军</t>
  </si>
  <si>
    <t>13926508291</t>
  </si>
  <si>
    <t>7#厂房6层B</t>
  </si>
  <si>
    <t>2015-12-20--2019-12-31</t>
  </si>
  <si>
    <t>2015-12-20</t>
  </si>
  <si>
    <t>CF07-6F-C</t>
  </si>
  <si>
    <t>7#厂房6层C</t>
  </si>
  <si>
    <t>2016-02-16--2019-11-30</t>
  </si>
  <si>
    <t>2016-02-16</t>
  </si>
  <si>
    <t>钱志学</t>
  </si>
  <si>
    <t>13332816669</t>
  </si>
  <si>
    <t>CF07-7F-A</t>
  </si>
  <si>
    <t>7#厂房7层A</t>
  </si>
  <si>
    <t>2018-11-01--2019-10-31</t>
  </si>
  <si>
    <t>CF07-7F-B</t>
  </si>
  <si>
    <t>深圳市创达诚管理服务有限公司</t>
  </si>
  <si>
    <t>张锦春</t>
  </si>
  <si>
    <t>13556876884</t>
  </si>
  <si>
    <t>7#厂房7层B</t>
  </si>
  <si>
    <t xml:space="preserve"> 1层</t>
  </si>
  <si>
    <t>CF08-1F</t>
  </si>
  <si>
    <t>深圳光宝移动精密模具有限公司</t>
  </si>
  <si>
    <t>罗倩敏</t>
  </si>
  <si>
    <t>13823792522</t>
  </si>
  <si>
    <t>8#厂房1层</t>
  </si>
  <si>
    <t>2017-11-01--2019-10-31</t>
  </si>
  <si>
    <t>2017-11-01</t>
  </si>
  <si>
    <t>CF08-2F-A</t>
  </si>
  <si>
    <t>深圳何家服饰有限公司</t>
  </si>
  <si>
    <t>何米</t>
  </si>
  <si>
    <t>13026667771</t>
  </si>
  <si>
    <t>8#厂房2层A</t>
  </si>
  <si>
    <t>2018-05-01--2019-07-31</t>
  </si>
  <si>
    <t>CF08-2F-B</t>
  </si>
  <si>
    <t>深圳市维和华服饰有限公司</t>
  </si>
  <si>
    <t>段宗伟</t>
  </si>
  <si>
    <t>13682568341</t>
  </si>
  <si>
    <t>8#厂房2层B</t>
  </si>
  <si>
    <t>2017-08-01--2019-07-31</t>
  </si>
  <si>
    <t>2017-08-01</t>
  </si>
  <si>
    <t>CF08-3F-A</t>
  </si>
  <si>
    <t>港濠服饰（深圳）有限公司</t>
  </si>
  <si>
    <t>颜成伟</t>
  </si>
  <si>
    <t>13902440528</t>
  </si>
  <si>
    <t>8#厂房3层A</t>
  </si>
  <si>
    <t>2015-07-01--2019-06-30</t>
  </si>
  <si>
    <t>2015-07-01</t>
  </si>
  <si>
    <t>CF08-3F-B</t>
  </si>
  <si>
    <t>深圳市龙岗区赫本秀服装设计部</t>
  </si>
  <si>
    <t>吕绍庆</t>
  </si>
  <si>
    <t>13691700198</t>
  </si>
  <si>
    <t>8#厂房3层B</t>
  </si>
  <si>
    <t>2016-10-01--2019-06-30</t>
  </si>
  <si>
    <t>2016-10-01</t>
  </si>
  <si>
    <t>CF08-4F-A</t>
  </si>
  <si>
    <t>深圳市云裳花容服饰有限公司</t>
  </si>
  <si>
    <t>季院生</t>
  </si>
  <si>
    <t>13316848600</t>
  </si>
  <si>
    <t>8#厂房4层A</t>
  </si>
  <si>
    <t>CF08-4F-B</t>
  </si>
  <si>
    <t>深圳欣烨时装有限公司</t>
  </si>
  <si>
    <t>张加涛</t>
  </si>
  <si>
    <t>13632652765</t>
  </si>
  <si>
    <t>8#厂房4层B</t>
  </si>
  <si>
    <t>CF08-5F</t>
  </si>
  <si>
    <t>深圳市善若服装有限公司</t>
  </si>
  <si>
    <t>周瑞超</t>
  </si>
  <si>
    <t>13923496191</t>
  </si>
  <si>
    <t>8#厂房5层</t>
  </si>
  <si>
    <t xml:space="preserve"> 6层</t>
  </si>
  <si>
    <t>CF08-6F</t>
  </si>
  <si>
    <t>8#厂房6层</t>
  </si>
  <si>
    <t>2017-03-16--2020-03-31</t>
  </si>
  <si>
    <t>2017-03-16</t>
  </si>
  <si>
    <t>9#厂房</t>
  </si>
  <si>
    <t>CF09-1F</t>
  </si>
  <si>
    <t>9#厂房1层</t>
  </si>
  <si>
    <t xml:space="preserve"> 2层</t>
  </si>
  <si>
    <t>CF09-2F</t>
  </si>
  <si>
    <t>9#厂房2层</t>
  </si>
  <si>
    <t>CF09-3F-A</t>
  </si>
  <si>
    <t>深圳市鸿泽服装有限公司</t>
  </si>
  <si>
    <t>于海涛</t>
  </si>
  <si>
    <t>18741708888</t>
  </si>
  <si>
    <t>9#厂房3层A</t>
  </si>
  <si>
    <t>CF09-3F-B</t>
  </si>
  <si>
    <t>9#厂房3层B</t>
  </si>
  <si>
    <t>CF09-4F-A</t>
  </si>
  <si>
    <t>深圳市生发服装配件有限公司</t>
  </si>
  <si>
    <t>彭成涛</t>
  </si>
  <si>
    <t>13902313759</t>
  </si>
  <si>
    <t>9#厂房4层A</t>
  </si>
  <si>
    <t>CF09-6F-C</t>
  </si>
  <si>
    <t>深圳市锐晖科技有限公司</t>
  </si>
  <si>
    <t>文先生</t>
  </si>
  <si>
    <t>13925207459</t>
  </si>
  <si>
    <t>9#厂房6层C</t>
  </si>
  <si>
    <t>CF09-6F-B</t>
  </si>
  <si>
    <t>深圳市七吻服饰有限公司</t>
  </si>
  <si>
    <t>孙继国</t>
  </si>
  <si>
    <t>15817259000</t>
  </si>
  <si>
    <t>9#厂房6层B</t>
  </si>
  <si>
    <t>仓库</t>
  </si>
  <si>
    <t>CK-3F-B</t>
  </si>
  <si>
    <t>仓库3层西</t>
  </si>
  <si>
    <t>饭堂</t>
  </si>
  <si>
    <t>FT-1F</t>
  </si>
  <si>
    <t>深圳市永盛餐饮投资有限公司</t>
  </si>
  <si>
    <t>林木锐</t>
  </si>
  <si>
    <t>13802242933</t>
  </si>
  <si>
    <t>员工食堂1层</t>
  </si>
  <si>
    <t>2014-02-01--2020-05-31</t>
  </si>
  <si>
    <t>2014-02-01</t>
  </si>
  <si>
    <t>深圳市国奥健身用品有限公司</t>
  </si>
  <si>
    <t>黄群香</t>
  </si>
  <si>
    <t>13316838887</t>
  </si>
  <si>
    <t>CF04-5F-C</t>
  </si>
  <si>
    <t>深圳市速通捷科技有限公司</t>
  </si>
  <si>
    <t>罗通文</t>
  </si>
  <si>
    <t>13714865933</t>
  </si>
  <si>
    <t>4#5层西</t>
  </si>
  <si>
    <t>CF06-4F-D</t>
  </si>
  <si>
    <t>深圳市百盛金服装有限公司</t>
  </si>
  <si>
    <t>孙国志</t>
  </si>
  <si>
    <t>15013520066</t>
  </si>
  <si>
    <t>6#4层西</t>
  </si>
  <si>
    <t>2014-10-01--2019-09-30</t>
  </si>
  <si>
    <t>2014-10-01</t>
  </si>
  <si>
    <t>2019-03-16</t>
  </si>
  <si>
    <t>7层</t>
  </si>
  <si>
    <t>CF07-1F-C</t>
  </si>
  <si>
    <t>深圳市新伟达缝制设备有限公司</t>
  </si>
  <si>
    <t>戴建伟</t>
  </si>
  <si>
    <t>13430924548</t>
  </si>
  <si>
    <t>7#厂房北小仓库</t>
  </si>
  <si>
    <t xml:space="preserve"> 7层</t>
  </si>
  <si>
    <t>CF04-7F</t>
  </si>
  <si>
    <t>深圳市迈威迅电子有限公司</t>
  </si>
  <si>
    <t>陈太明</t>
  </si>
  <si>
    <t>13922850739</t>
  </si>
  <si>
    <t>4号厂房7层</t>
  </si>
  <si>
    <t>2017-03-20--2020-03-31</t>
  </si>
  <si>
    <t>2017-03-20</t>
  </si>
  <si>
    <t>3层</t>
  </si>
  <si>
    <t>SS-14-309</t>
  </si>
  <si>
    <t>宿舍</t>
  </si>
  <si>
    <t>14#309</t>
  </si>
  <si>
    <t>2018-04-01--2019-03-31</t>
  </si>
  <si>
    <t>2018-04-01</t>
  </si>
  <si>
    <t>SS-14-310</t>
  </si>
  <si>
    <t>深圳市毛毛服装有限公司</t>
  </si>
  <si>
    <t>胡润超</t>
  </si>
  <si>
    <t>15814096505</t>
  </si>
  <si>
    <t>14#310</t>
  </si>
  <si>
    <t>4层</t>
  </si>
  <si>
    <t>SS-14-401</t>
  </si>
  <si>
    <t>郭冬娃</t>
  </si>
  <si>
    <t>18048667287</t>
  </si>
  <si>
    <t>14#401</t>
  </si>
  <si>
    <t>2018-09-01--2019-08-31</t>
  </si>
  <si>
    <t>2018-09-01</t>
  </si>
  <si>
    <t>SS-14-402</t>
  </si>
  <si>
    <t>张学珍</t>
  </si>
  <si>
    <t>13530856943</t>
  </si>
  <si>
    <t>14#402</t>
  </si>
  <si>
    <t>SS-14-403</t>
  </si>
  <si>
    <t>14#403</t>
  </si>
  <si>
    <t>2018-03-01--2019-02-28</t>
  </si>
  <si>
    <t>自然终止</t>
  </si>
  <si>
    <t>2018-03-01</t>
  </si>
  <si>
    <t>2019-03-01--2019-12-31</t>
  </si>
  <si>
    <t>2019-03-01</t>
  </si>
  <si>
    <t>SS-14-404</t>
  </si>
  <si>
    <t>14#404</t>
  </si>
  <si>
    <t>SS-14-405</t>
  </si>
  <si>
    <t>刘洪先</t>
  </si>
  <si>
    <t>13682424497</t>
  </si>
  <si>
    <t>14#405</t>
  </si>
  <si>
    <t>2019-02-01--2020-01-31</t>
  </si>
  <si>
    <t>2019-02-01</t>
  </si>
  <si>
    <t>SS-14-406</t>
  </si>
  <si>
    <t>陈梅秀</t>
  </si>
  <si>
    <t>15914128639</t>
  </si>
  <si>
    <t>14#406</t>
  </si>
  <si>
    <t>SS-14-407</t>
  </si>
  <si>
    <t>陈银春</t>
  </si>
  <si>
    <t>18007552100</t>
  </si>
  <si>
    <t>14#407</t>
  </si>
  <si>
    <t>SS-14-408</t>
  </si>
  <si>
    <t>14#408</t>
  </si>
  <si>
    <t>SS-14-409</t>
  </si>
  <si>
    <t>14#409</t>
  </si>
  <si>
    <t>SS-14-410</t>
  </si>
  <si>
    <t>14#410</t>
  </si>
  <si>
    <t>SS-14-411</t>
  </si>
  <si>
    <t>14#411</t>
  </si>
  <si>
    <t>SS-14-412</t>
  </si>
  <si>
    <t>14#412</t>
  </si>
  <si>
    <t>SS-14-413</t>
  </si>
  <si>
    <t>14#413</t>
  </si>
  <si>
    <t>5层</t>
  </si>
  <si>
    <t>SS-14-509-510</t>
  </si>
  <si>
    <t>14#509-510</t>
  </si>
  <si>
    <t>SS-14-301</t>
  </si>
  <si>
    <t>黄祖演</t>
  </si>
  <si>
    <t>15521070385</t>
  </si>
  <si>
    <t>14#301</t>
  </si>
  <si>
    <t>SS-14-302</t>
  </si>
  <si>
    <t>李俊超</t>
  </si>
  <si>
    <t>13430605321</t>
  </si>
  <si>
    <t>14#302</t>
  </si>
  <si>
    <t>SS-14-303</t>
  </si>
  <si>
    <t>14#303</t>
  </si>
  <si>
    <t>SS-14-304</t>
  </si>
  <si>
    <t>14#304</t>
  </si>
  <si>
    <t>SS-14-305</t>
  </si>
  <si>
    <t>深圳卡蔓电子商务有限公司</t>
  </si>
  <si>
    <t>陈先生</t>
  </si>
  <si>
    <t>13751080492陈先生</t>
  </si>
  <si>
    <t>14#305</t>
  </si>
  <si>
    <t>2019-01-16--2019-12-31</t>
  </si>
  <si>
    <t>2019-01-16</t>
  </si>
  <si>
    <t>SS-14-306</t>
  </si>
  <si>
    <t>李远茂</t>
  </si>
  <si>
    <t>13728787435</t>
  </si>
  <si>
    <t>14#306</t>
  </si>
  <si>
    <t>SS-14-307</t>
  </si>
  <si>
    <t>14#307</t>
  </si>
  <si>
    <t>SS-14-308</t>
  </si>
  <si>
    <t>14#308</t>
  </si>
  <si>
    <t>1#宿舍</t>
  </si>
  <si>
    <t>0层</t>
  </si>
  <si>
    <t>SS-01-02LTJ</t>
  </si>
  <si>
    <t>周雪平</t>
  </si>
  <si>
    <t>13530125487</t>
  </si>
  <si>
    <t>1#02楼梯间</t>
  </si>
  <si>
    <t>2018-07-01--2019-06-30</t>
  </si>
  <si>
    <t>SS-01-03LTJ</t>
  </si>
  <si>
    <t>1#03楼梯间</t>
  </si>
  <si>
    <t>SS-01-04LTJ</t>
  </si>
  <si>
    <t>1#04楼梯间</t>
  </si>
  <si>
    <t>SS-01-05LTJ</t>
  </si>
  <si>
    <t>1#05楼梯间</t>
  </si>
  <si>
    <t>SS-01-06LTJ</t>
  </si>
  <si>
    <t>1#06楼梯间</t>
  </si>
  <si>
    <t>SS-01-07LTJ</t>
  </si>
  <si>
    <t>1#07楼梯间</t>
  </si>
  <si>
    <t>1层</t>
  </si>
  <si>
    <t>SS-01-101</t>
  </si>
  <si>
    <t>陈增荣</t>
  </si>
  <si>
    <t>13714515183</t>
  </si>
  <si>
    <t>1#101</t>
  </si>
  <si>
    <t>SS-01-102</t>
  </si>
  <si>
    <t>深圳市和通伟盛服饰有限公司</t>
  </si>
  <si>
    <t>叶雪玲</t>
  </si>
  <si>
    <t>13620223004</t>
  </si>
  <si>
    <t>1#102</t>
  </si>
  <si>
    <t>SS-01-103</t>
  </si>
  <si>
    <t>1#103</t>
  </si>
  <si>
    <t>SS-01-104</t>
  </si>
  <si>
    <t>1#104</t>
  </si>
  <si>
    <t>SS-01-105</t>
  </si>
  <si>
    <t>深圳市日月升商贸有限公司</t>
  </si>
  <si>
    <t>李素明</t>
  </si>
  <si>
    <t>18923702911</t>
  </si>
  <si>
    <t>1#105</t>
  </si>
  <si>
    <t>SS-01-106</t>
  </si>
  <si>
    <t>1#106</t>
  </si>
  <si>
    <t>SS-01-107</t>
  </si>
  <si>
    <t>1#107</t>
  </si>
  <si>
    <t>SS-01-108</t>
  </si>
  <si>
    <t>1#108</t>
  </si>
  <si>
    <t>2018-09-01--2019-03-31</t>
  </si>
  <si>
    <t>SS-01-109</t>
  </si>
  <si>
    <t>1#109</t>
  </si>
  <si>
    <t>SS-01-110</t>
  </si>
  <si>
    <t>1#110</t>
  </si>
  <si>
    <t>SS-01-111</t>
  </si>
  <si>
    <t>1#111</t>
  </si>
  <si>
    <t>SS-01-112</t>
  </si>
  <si>
    <t>1#112</t>
  </si>
  <si>
    <t>2层</t>
  </si>
  <si>
    <t>SS-01-201</t>
  </si>
  <si>
    <t>舒环元</t>
  </si>
  <si>
    <t>13537881291</t>
  </si>
  <si>
    <t>1#201</t>
  </si>
  <si>
    <t>SS-01-202</t>
  </si>
  <si>
    <t>1#202</t>
  </si>
  <si>
    <t>SS-01-203</t>
  </si>
  <si>
    <t>凌云发</t>
  </si>
  <si>
    <t>13410941820</t>
  </si>
  <si>
    <t>1#203</t>
  </si>
  <si>
    <t>2018-01-01--2022-12-31</t>
  </si>
  <si>
    <t>SS-01-204</t>
  </si>
  <si>
    <t>1#204</t>
  </si>
  <si>
    <t>SS-01-205</t>
  </si>
  <si>
    <t>毛道华</t>
  </si>
  <si>
    <t>13715160241</t>
  </si>
  <si>
    <t>1#205</t>
  </si>
  <si>
    <t>SS-01-206</t>
  </si>
  <si>
    <t>1#206</t>
  </si>
  <si>
    <t>SS-01-207</t>
  </si>
  <si>
    <t>许坤元</t>
  </si>
  <si>
    <t>13088890574</t>
  </si>
  <si>
    <t>1#207</t>
  </si>
  <si>
    <t>SS-01-208</t>
  </si>
  <si>
    <t>1#208</t>
  </si>
  <si>
    <t>SS-01-209</t>
  </si>
  <si>
    <t>1#209</t>
  </si>
  <si>
    <t>SS-01-210</t>
  </si>
  <si>
    <t>1#210</t>
  </si>
  <si>
    <t>SS-01-211</t>
  </si>
  <si>
    <t>杨小双</t>
  </si>
  <si>
    <t>1#211</t>
  </si>
  <si>
    <t>2018-05-16--2019-05-15</t>
  </si>
  <si>
    <t>2018-05-16</t>
  </si>
  <si>
    <t>SS-01-212</t>
  </si>
  <si>
    <t>张萍</t>
  </si>
  <si>
    <t>13430700422</t>
  </si>
  <si>
    <t>1#212</t>
  </si>
  <si>
    <t>SS-01-301</t>
  </si>
  <si>
    <t>王绪红</t>
  </si>
  <si>
    <t>15989890880</t>
  </si>
  <si>
    <t>1#301</t>
  </si>
  <si>
    <t>办理中</t>
  </si>
  <si>
    <t>SS-01-302</t>
  </si>
  <si>
    <t>1#302</t>
  </si>
  <si>
    <t>SS-01-303</t>
  </si>
  <si>
    <t>李琴</t>
  </si>
  <si>
    <t>18688758885</t>
  </si>
  <si>
    <t>1#303</t>
  </si>
  <si>
    <t>SS-01-304</t>
  </si>
  <si>
    <t>程碧勇</t>
  </si>
  <si>
    <t>13510393571</t>
  </si>
  <si>
    <t>1#304</t>
  </si>
  <si>
    <t>SS-01-305</t>
  </si>
  <si>
    <t>深圳市恒富兴电子有限公司</t>
  </si>
  <si>
    <t>李相如</t>
  </si>
  <si>
    <t>1#305</t>
  </si>
  <si>
    <t>SS-01-306</t>
  </si>
  <si>
    <t>1#306</t>
  </si>
  <si>
    <t>SS-01-307</t>
  </si>
  <si>
    <t>1#307</t>
  </si>
  <si>
    <t>SS-01-308</t>
  </si>
  <si>
    <t>1#308</t>
  </si>
  <si>
    <t>SS-01-309</t>
  </si>
  <si>
    <t>余继红</t>
  </si>
  <si>
    <t>15225368391</t>
  </si>
  <si>
    <t>1#309</t>
  </si>
  <si>
    <t>SS-01-310</t>
  </si>
  <si>
    <t>罗一平</t>
  </si>
  <si>
    <t>13560770287</t>
  </si>
  <si>
    <t>1#310</t>
  </si>
  <si>
    <t>SS-01-311</t>
  </si>
  <si>
    <t>杜永圣</t>
  </si>
  <si>
    <t>13246658787</t>
  </si>
  <si>
    <t>1#311</t>
  </si>
  <si>
    <t>SS-01-312</t>
  </si>
  <si>
    <t>刘兴平</t>
  </si>
  <si>
    <t>13411889529</t>
  </si>
  <si>
    <t>1#312</t>
  </si>
  <si>
    <t>SS-01-401</t>
  </si>
  <si>
    <t>王长春</t>
  </si>
  <si>
    <t>13129054938</t>
  </si>
  <si>
    <t>1#401</t>
  </si>
  <si>
    <t>SS-01-402</t>
  </si>
  <si>
    <t>邢玉莲</t>
  </si>
  <si>
    <t>18256019252</t>
  </si>
  <si>
    <t>1#402</t>
  </si>
  <si>
    <t>SS-01-403</t>
  </si>
  <si>
    <t>1#403</t>
  </si>
  <si>
    <t>SS-01-404</t>
  </si>
  <si>
    <t>蒋芳明</t>
  </si>
  <si>
    <t>13714853779</t>
  </si>
  <si>
    <t>1#404</t>
  </si>
  <si>
    <t>2018-08-01--2020-07-31</t>
  </si>
  <si>
    <t>SS-01-405</t>
  </si>
  <si>
    <t>李云云</t>
  </si>
  <si>
    <t>13396038831</t>
  </si>
  <si>
    <t>1#405</t>
  </si>
  <si>
    <t>SS-01-406</t>
  </si>
  <si>
    <t>李晶晶</t>
  </si>
  <si>
    <t>13631569436</t>
  </si>
  <si>
    <t>1#406</t>
  </si>
  <si>
    <t>SS-01-407</t>
  </si>
  <si>
    <t>1#407</t>
  </si>
  <si>
    <t>SS-01-408</t>
  </si>
  <si>
    <t>1#408</t>
  </si>
  <si>
    <t>SS-01-409</t>
  </si>
  <si>
    <t>李嘉铭</t>
  </si>
  <si>
    <t>13612912628</t>
  </si>
  <si>
    <t>1#409</t>
  </si>
  <si>
    <t>SS-01-410</t>
  </si>
  <si>
    <t>吴超</t>
  </si>
  <si>
    <t>13168015188</t>
  </si>
  <si>
    <t>1#410</t>
  </si>
  <si>
    <t>SS-01-411</t>
  </si>
  <si>
    <t>蒋志龙</t>
  </si>
  <si>
    <t>13662583589</t>
  </si>
  <si>
    <t>1#411</t>
  </si>
  <si>
    <t>SS-01-412</t>
  </si>
  <si>
    <t>1#412</t>
  </si>
  <si>
    <t>SS-01-501</t>
  </si>
  <si>
    <t>1#501</t>
  </si>
  <si>
    <t>SS-01-502</t>
  </si>
  <si>
    <t>刘春花</t>
  </si>
  <si>
    <t>13430578264</t>
  </si>
  <si>
    <t>1#502</t>
  </si>
  <si>
    <t>SS-01-503</t>
  </si>
  <si>
    <t>李付勤</t>
  </si>
  <si>
    <t>1#503</t>
  </si>
  <si>
    <t>2018-05-16--2022-05-15</t>
  </si>
  <si>
    <t>SS-01-504</t>
  </si>
  <si>
    <t>1#504</t>
  </si>
  <si>
    <t>SS-01-505</t>
  </si>
  <si>
    <t>1#505</t>
  </si>
  <si>
    <t>SS-01-506</t>
  </si>
  <si>
    <t>1#506</t>
  </si>
  <si>
    <t>SS-01-507</t>
  </si>
  <si>
    <t>王小曲</t>
  </si>
  <si>
    <t>13267249990</t>
  </si>
  <si>
    <t>1#507</t>
  </si>
  <si>
    <t>SS-01-508</t>
  </si>
  <si>
    <t>马铁刚</t>
  </si>
  <si>
    <t>马铁钢</t>
  </si>
  <si>
    <t>18307553807</t>
  </si>
  <si>
    <t>1#508</t>
  </si>
  <si>
    <t>SS-01-509</t>
  </si>
  <si>
    <t>1#509</t>
  </si>
  <si>
    <t>SS-01-510</t>
  </si>
  <si>
    <t>1#510</t>
  </si>
  <si>
    <t>SS-01-511</t>
  </si>
  <si>
    <t>吴远平</t>
  </si>
  <si>
    <t>13692156472</t>
  </si>
  <si>
    <t>1#511</t>
  </si>
  <si>
    <t>SS-01-512</t>
  </si>
  <si>
    <t>1#512</t>
  </si>
  <si>
    <t>6层</t>
  </si>
  <si>
    <t>SS-01-601</t>
  </si>
  <si>
    <t>陈其清</t>
  </si>
  <si>
    <t>15768638478</t>
  </si>
  <si>
    <t>1#601</t>
  </si>
  <si>
    <t>SS-01-602</t>
  </si>
  <si>
    <t>1#602</t>
  </si>
  <si>
    <t>SS-01-603</t>
  </si>
  <si>
    <t>陈藕花</t>
  </si>
  <si>
    <t>13434704170</t>
  </si>
  <si>
    <t>1#603</t>
  </si>
  <si>
    <t>2019-03-01--2019-05-31</t>
  </si>
  <si>
    <t>SS-01-604</t>
  </si>
  <si>
    <t>1#604</t>
  </si>
  <si>
    <t>SS-01-605</t>
  </si>
  <si>
    <t>劳玉红</t>
  </si>
  <si>
    <t>15994720873</t>
  </si>
  <si>
    <t>1#605</t>
  </si>
  <si>
    <t>SS-01-606</t>
  </si>
  <si>
    <t>周海波</t>
  </si>
  <si>
    <t>13418789582</t>
  </si>
  <si>
    <t>1#606</t>
  </si>
  <si>
    <t>SS-01-607</t>
  </si>
  <si>
    <t>王宁宁</t>
  </si>
  <si>
    <t>18027664350</t>
  </si>
  <si>
    <t>1#607</t>
  </si>
  <si>
    <t>2018-08-16--2019-07-31</t>
  </si>
  <si>
    <t>2018-08-16</t>
  </si>
  <si>
    <t>SS-01-608</t>
  </si>
  <si>
    <t>钟仕珍</t>
  </si>
  <si>
    <t>13538172764</t>
  </si>
  <si>
    <t>1#608</t>
  </si>
  <si>
    <t>SS-01-609</t>
  </si>
  <si>
    <t>张正全</t>
  </si>
  <si>
    <t>13620204803</t>
  </si>
  <si>
    <t>1#609</t>
  </si>
  <si>
    <t>SS-01-610</t>
  </si>
  <si>
    <t>刘建国</t>
  </si>
  <si>
    <t>13510117817</t>
  </si>
  <si>
    <t>1#610</t>
  </si>
  <si>
    <t>SS-01-611</t>
  </si>
  <si>
    <t>蒋小庆</t>
  </si>
  <si>
    <t>13798491023</t>
  </si>
  <si>
    <t>1#611</t>
  </si>
  <si>
    <t>SS-01-612</t>
  </si>
  <si>
    <t>沈克斌</t>
  </si>
  <si>
    <t>13714374392</t>
  </si>
  <si>
    <t>1#612</t>
  </si>
  <si>
    <t>SS-01-701</t>
  </si>
  <si>
    <t>1#701</t>
  </si>
  <si>
    <t>SS-01-702</t>
  </si>
  <si>
    <t>程安双</t>
  </si>
  <si>
    <t>13628562115</t>
  </si>
  <si>
    <t>1#702</t>
  </si>
  <si>
    <t>SS-01-703</t>
  </si>
  <si>
    <t>高心强</t>
  </si>
  <si>
    <t>13534014255</t>
  </si>
  <si>
    <t>1#703</t>
  </si>
  <si>
    <t>SS-01-704</t>
  </si>
  <si>
    <t>周桂梅</t>
  </si>
  <si>
    <t>13422867345</t>
  </si>
  <si>
    <t>1#704</t>
  </si>
  <si>
    <t>SS-01-705</t>
  </si>
  <si>
    <t>1#705</t>
  </si>
  <si>
    <t>SS-01-706</t>
  </si>
  <si>
    <t>盛晓俊</t>
  </si>
  <si>
    <t>13430891939</t>
  </si>
  <si>
    <t>1#706</t>
  </si>
  <si>
    <t>SS-01-707</t>
  </si>
  <si>
    <t>朱敏</t>
  </si>
  <si>
    <t>13045866135</t>
  </si>
  <si>
    <t>1#707</t>
  </si>
  <si>
    <t>SS-01-708</t>
  </si>
  <si>
    <t>陈喜</t>
  </si>
  <si>
    <t>13058063746</t>
  </si>
  <si>
    <t>1#708</t>
  </si>
  <si>
    <t>SS-01-709</t>
  </si>
  <si>
    <t>1#709</t>
  </si>
  <si>
    <t>SS-01-710</t>
  </si>
  <si>
    <t>张广华</t>
  </si>
  <si>
    <t>13612999599</t>
  </si>
  <si>
    <t>1#710</t>
  </si>
  <si>
    <t>SS-01-711</t>
  </si>
  <si>
    <t>杨西霞</t>
  </si>
  <si>
    <t>15815598991</t>
  </si>
  <si>
    <t>1#711</t>
  </si>
  <si>
    <t>SS-01-712</t>
  </si>
  <si>
    <t>1#712</t>
  </si>
  <si>
    <t>SS-02-02LTJ</t>
  </si>
  <si>
    <t>2#02楼梯间</t>
  </si>
  <si>
    <t>SS-02-03LTJ</t>
  </si>
  <si>
    <t>2#03楼梯间</t>
  </si>
  <si>
    <t>SS-02-04LTJ</t>
  </si>
  <si>
    <t>2#04楼梯间</t>
  </si>
  <si>
    <t>SS-02-05LTJ</t>
  </si>
  <si>
    <t>2#05楼梯间</t>
  </si>
  <si>
    <t>SS-02-06LTJ</t>
  </si>
  <si>
    <t>2#06楼梯间</t>
  </si>
  <si>
    <t>SS-02-07LTJ</t>
  </si>
  <si>
    <t>陈社云</t>
  </si>
  <si>
    <t>13422870359</t>
  </si>
  <si>
    <t>2#07楼梯间</t>
  </si>
  <si>
    <t>SS-02-101</t>
  </si>
  <si>
    <t>租户</t>
  </si>
  <si>
    <t>董磊</t>
  </si>
  <si>
    <t>15807134242</t>
  </si>
  <si>
    <t>2#101</t>
  </si>
  <si>
    <t>SS-02-102</t>
  </si>
  <si>
    <t>赖胜才</t>
  </si>
  <si>
    <t>13602580256</t>
  </si>
  <si>
    <t>2#102</t>
  </si>
  <si>
    <t>SS-02-103</t>
  </si>
  <si>
    <t>2#103</t>
  </si>
  <si>
    <t>SS-02-104</t>
  </si>
  <si>
    <t>2#104</t>
  </si>
  <si>
    <t>SS-02-105</t>
  </si>
  <si>
    <t>深圳市龙岗区凌峰实业有限公司</t>
  </si>
  <si>
    <t>陈俞林</t>
  </si>
  <si>
    <t>13902908387</t>
  </si>
  <si>
    <t>2#105</t>
  </si>
  <si>
    <t>SS-02-106</t>
  </si>
  <si>
    <t>2#106</t>
  </si>
  <si>
    <t>SS-02-107</t>
  </si>
  <si>
    <t>王利生</t>
  </si>
  <si>
    <t>13554709985</t>
  </si>
  <si>
    <t>2#107</t>
  </si>
  <si>
    <t>2018-08-11--2019-07-31</t>
  </si>
  <si>
    <t>2018-08-11</t>
  </si>
  <si>
    <t>SS-02-108</t>
  </si>
  <si>
    <t>2#108</t>
  </si>
  <si>
    <t>SS-02-109</t>
  </si>
  <si>
    <t>龙卓瞳</t>
  </si>
  <si>
    <t>18925262201</t>
  </si>
  <si>
    <t>2#109</t>
  </si>
  <si>
    <t>2019-01-10--2019-03-31</t>
  </si>
  <si>
    <t>2019-01-10</t>
  </si>
  <si>
    <t>SS-02-110</t>
  </si>
  <si>
    <t>深圳市恩泽给排水设备工程有限公司</t>
  </si>
  <si>
    <t>蒋盛</t>
  </si>
  <si>
    <t>13632768127</t>
  </si>
  <si>
    <t>2#110</t>
  </si>
  <si>
    <t>SS-02-111</t>
  </si>
  <si>
    <t>2#111</t>
  </si>
  <si>
    <t>SS-02-112</t>
  </si>
  <si>
    <t>2#112</t>
  </si>
  <si>
    <t>SS-02-2F</t>
  </si>
  <si>
    <t>2#2F</t>
  </si>
  <si>
    <t>SS-02-301</t>
  </si>
  <si>
    <t>何利娟</t>
  </si>
  <si>
    <t>18938947885</t>
  </si>
  <si>
    <t>2#301</t>
  </si>
  <si>
    <t>SS-02-302</t>
  </si>
  <si>
    <t>包安军</t>
  </si>
  <si>
    <t>18086986933</t>
  </si>
  <si>
    <t>2#302</t>
  </si>
  <si>
    <t>SS-02-303</t>
  </si>
  <si>
    <t>杨清虎</t>
  </si>
  <si>
    <t>13682634009</t>
  </si>
  <si>
    <t>2#303</t>
  </si>
  <si>
    <t>2018-12-11--2019-03-31</t>
  </si>
  <si>
    <t>2018-12-11</t>
  </si>
  <si>
    <t>SS-02-304</t>
  </si>
  <si>
    <t>杜鹃</t>
  </si>
  <si>
    <t>17740168708</t>
  </si>
  <si>
    <t>2#304</t>
  </si>
  <si>
    <t>2019-03-01--2019-04-30</t>
  </si>
  <si>
    <t>SS-02-305</t>
  </si>
  <si>
    <t>王海兵</t>
  </si>
  <si>
    <t>13316818827</t>
  </si>
  <si>
    <t>2#305</t>
  </si>
  <si>
    <t>SS-02-306</t>
  </si>
  <si>
    <t>2#306</t>
  </si>
  <si>
    <t>SS-02-307</t>
  </si>
  <si>
    <t>2#307</t>
  </si>
  <si>
    <t>SS-02-308</t>
  </si>
  <si>
    <t>易湘萍</t>
  </si>
  <si>
    <t>15274095866</t>
  </si>
  <si>
    <t>2#308</t>
  </si>
  <si>
    <t>2018-04-21--2019-03-31</t>
  </si>
  <si>
    <t>2018-04-21</t>
  </si>
  <si>
    <t>SS-02-309</t>
  </si>
  <si>
    <t>2#309</t>
  </si>
  <si>
    <t>SS-02-310</t>
  </si>
  <si>
    <t>2#310</t>
  </si>
  <si>
    <t>SS-02-311</t>
  </si>
  <si>
    <t>2#311</t>
  </si>
  <si>
    <t>SS-02-312</t>
  </si>
  <si>
    <t>2#312</t>
  </si>
  <si>
    <t>SS-02-4F</t>
  </si>
  <si>
    <t>2#4F</t>
  </si>
  <si>
    <t>SS-02-5F</t>
  </si>
  <si>
    <t>2#5F</t>
  </si>
  <si>
    <t>SS-02-601</t>
  </si>
  <si>
    <t>李新</t>
  </si>
  <si>
    <t>13136613130</t>
  </si>
  <si>
    <t>2#601</t>
  </si>
  <si>
    <t>SS-02-602</t>
  </si>
  <si>
    <t>唐星星</t>
  </si>
  <si>
    <t>13058193227</t>
  </si>
  <si>
    <t>2#602</t>
  </si>
  <si>
    <t>SS-02-603</t>
  </si>
  <si>
    <t>高凤</t>
  </si>
  <si>
    <t>13642348602</t>
  </si>
  <si>
    <t>2#603</t>
  </si>
  <si>
    <t>SS-02-604</t>
  </si>
  <si>
    <t>吴园桃</t>
  </si>
  <si>
    <t>15919490231</t>
  </si>
  <si>
    <t>2#604</t>
  </si>
  <si>
    <t>2019-02-28--2019-04-30</t>
  </si>
  <si>
    <t>2019-02-28</t>
  </si>
  <si>
    <t>SS-02-605</t>
  </si>
  <si>
    <t>李志</t>
  </si>
  <si>
    <t>李 志</t>
  </si>
  <si>
    <t>13556812595</t>
  </si>
  <si>
    <t>2#605</t>
  </si>
  <si>
    <t>SS-02-606</t>
  </si>
  <si>
    <t>张德蓉</t>
  </si>
  <si>
    <t>18126135896</t>
  </si>
  <si>
    <t>2#606</t>
  </si>
  <si>
    <t>2018-12-01--2019-11-30</t>
  </si>
  <si>
    <t>2018-12-01</t>
  </si>
  <si>
    <t>SS-02-607</t>
  </si>
  <si>
    <t>张荣兰</t>
  </si>
  <si>
    <t>13715143345</t>
  </si>
  <si>
    <t>2#607</t>
  </si>
  <si>
    <t>SS-02-608</t>
  </si>
  <si>
    <t>王丹</t>
  </si>
  <si>
    <t>18825213885</t>
  </si>
  <si>
    <t>2#608</t>
  </si>
  <si>
    <t>SS-02-609</t>
  </si>
  <si>
    <t>张书华</t>
  </si>
  <si>
    <t>13410864506</t>
  </si>
  <si>
    <t>2#609</t>
  </si>
  <si>
    <t>SS-02-610</t>
  </si>
  <si>
    <t>王显武</t>
  </si>
  <si>
    <t>13510572711</t>
  </si>
  <si>
    <t>2#610</t>
  </si>
  <si>
    <t>SS-02-611</t>
  </si>
  <si>
    <t>邓云兰</t>
  </si>
  <si>
    <t>15875514934</t>
  </si>
  <si>
    <t>2#611</t>
  </si>
  <si>
    <t>SS-02-612</t>
  </si>
  <si>
    <t>2#612</t>
  </si>
  <si>
    <t>SS-02-701</t>
  </si>
  <si>
    <t>叶能</t>
  </si>
  <si>
    <t>13418991446</t>
  </si>
  <si>
    <t>2#701</t>
  </si>
  <si>
    <t>SS-02-702</t>
  </si>
  <si>
    <t>徐书波</t>
  </si>
  <si>
    <t>13755333552</t>
  </si>
  <si>
    <t>2#702</t>
  </si>
  <si>
    <t>SS-02-703</t>
  </si>
  <si>
    <t>唐伟军</t>
  </si>
  <si>
    <t>15012763271</t>
  </si>
  <si>
    <t>2#703</t>
  </si>
  <si>
    <t>SS-02-704</t>
  </si>
  <si>
    <t>李菊英</t>
  </si>
  <si>
    <t>13570888673</t>
  </si>
  <si>
    <t>2#704</t>
  </si>
  <si>
    <t>SS-02-705</t>
  </si>
  <si>
    <t>黄远梅</t>
  </si>
  <si>
    <t>13798551252</t>
  </si>
  <si>
    <t>2#705</t>
  </si>
  <si>
    <t>SS-02-706</t>
  </si>
  <si>
    <t>何贝</t>
  </si>
  <si>
    <t>15817319599</t>
  </si>
  <si>
    <t>2#706</t>
  </si>
  <si>
    <t>SS-02-707</t>
  </si>
  <si>
    <t>2#707</t>
  </si>
  <si>
    <t>SS-02-708</t>
  </si>
  <si>
    <t>梁向辉</t>
  </si>
  <si>
    <t>13267088491</t>
  </si>
  <si>
    <t>2#708</t>
  </si>
  <si>
    <t>2018-07-16--2019-06-30</t>
  </si>
  <si>
    <t>2018-07-16</t>
  </si>
  <si>
    <t>SS-02-709</t>
  </si>
  <si>
    <t>廖美好</t>
  </si>
  <si>
    <t>13424181635</t>
  </si>
  <si>
    <t>2#709</t>
  </si>
  <si>
    <t>2018-10-01--2019-09-30</t>
  </si>
  <si>
    <t>2018-10-01</t>
  </si>
  <si>
    <t>SS-02-710</t>
  </si>
  <si>
    <t>赖淑霞</t>
  </si>
  <si>
    <t>15219167269</t>
  </si>
  <si>
    <t>2#710</t>
  </si>
  <si>
    <t>SS-02-711</t>
  </si>
  <si>
    <t>陈国栋</t>
  </si>
  <si>
    <t>15019419591</t>
  </si>
  <si>
    <t>2#711</t>
  </si>
  <si>
    <t>SS-02-712</t>
  </si>
  <si>
    <t>王明英</t>
  </si>
  <si>
    <t>15889452031</t>
  </si>
  <si>
    <t>2#712</t>
  </si>
  <si>
    <t>SS-03-01LTJ</t>
  </si>
  <si>
    <t>3#01楼梯间</t>
  </si>
  <si>
    <t>SS-03-02LTJ</t>
  </si>
  <si>
    <t>3#02楼梯间</t>
  </si>
  <si>
    <t>SS-03-03LTJ</t>
  </si>
  <si>
    <t>3#03楼梯间</t>
  </si>
  <si>
    <t>SS-03-04LTJ</t>
  </si>
  <si>
    <t>3#04楼梯间</t>
  </si>
  <si>
    <t>SS-03-05LTJ</t>
  </si>
  <si>
    <t>3#05楼梯间</t>
  </si>
  <si>
    <t>SS-03-101</t>
  </si>
  <si>
    <t>邓显海</t>
  </si>
  <si>
    <t>13714541911</t>
  </si>
  <si>
    <t>3#101</t>
  </si>
  <si>
    <t>2019-01-01--2019-05-31</t>
  </si>
  <si>
    <t>SS-03-102</t>
  </si>
  <si>
    <t>吴伟深</t>
  </si>
  <si>
    <t>13312968500</t>
  </si>
  <si>
    <t>3#102</t>
  </si>
  <si>
    <t>SS-03-103</t>
  </si>
  <si>
    <t>3#103</t>
  </si>
  <si>
    <t>SS-03-104</t>
  </si>
  <si>
    <t>3#104</t>
  </si>
  <si>
    <t>SS-03-105</t>
  </si>
  <si>
    <t>3#105</t>
  </si>
  <si>
    <t>SS-03-106</t>
  </si>
  <si>
    <t>3#106</t>
  </si>
  <si>
    <t>SS-03-107</t>
  </si>
  <si>
    <t>保安服务公司</t>
  </si>
  <si>
    <t>3#107</t>
  </si>
  <si>
    <t>2018-01-01--2020-12-31</t>
  </si>
  <si>
    <t>SS-03-108</t>
  </si>
  <si>
    <t>3#108</t>
  </si>
  <si>
    <t>SS-03-109</t>
  </si>
  <si>
    <t>宋建平</t>
  </si>
  <si>
    <t>15112445669</t>
  </si>
  <si>
    <t>3#109</t>
  </si>
  <si>
    <t>2018-11-01--2020-04-30</t>
  </si>
  <si>
    <t>SS-03-110</t>
  </si>
  <si>
    <t>冯满意</t>
  </si>
  <si>
    <t>13823178664</t>
  </si>
  <si>
    <t>3#110</t>
  </si>
  <si>
    <t>SS-03-201</t>
  </si>
  <si>
    <t>3#201</t>
  </si>
  <si>
    <t>SS-03-202</t>
  </si>
  <si>
    <t>3#202</t>
  </si>
  <si>
    <t>SS-03-203</t>
  </si>
  <si>
    <t>陈爱弟</t>
  </si>
  <si>
    <t>15820306074</t>
  </si>
  <si>
    <t>3#203</t>
  </si>
  <si>
    <t>2018-11-16--2019-04-30</t>
  </si>
  <si>
    <t>2018-11-16</t>
  </si>
  <si>
    <t>SS-03-204</t>
  </si>
  <si>
    <t>3#204</t>
  </si>
  <si>
    <t>SS-03-205</t>
  </si>
  <si>
    <t>士营昌</t>
  </si>
  <si>
    <t>18839499766</t>
  </si>
  <si>
    <t>3#205</t>
  </si>
  <si>
    <t>2018-11-01--2019-04-30</t>
  </si>
  <si>
    <t>SS-03-206</t>
  </si>
  <si>
    <t>张群英</t>
  </si>
  <si>
    <t>3#206</t>
  </si>
  <si>
    <t>SS-03-207</t>
  </si>
  <si>
    <t>张美凤</t>
  </si>
  <si>
    <t>17665236569</t>
  </si>
  <si>
    <t>3#207</t>
  </si>
  <si>
    <t>SS-03-208</t>
  </si>
  <si>
    <t>3#208</t>
  </si>
  <si>
    <t>SS-03-209</t>
  </si>
  <si>
    <t>3#209</t>
  </si>
  <si>
    <t>SS-03-210</t>
  </si>
  <si>
    <t>黄贤良</t>
  </si>
  <si>
    <t>18028795774</t>
  </si>
  <si>
    <t>3#210</t>
  </si>
  <si>
    <t>SS-03-3F</t>
  </si>
  <si>
    <t>3#3F</t>
  </si>
  <si>
    <t>SS-03-401</t>
  </si>
  <si>
    <t>屠明后</t>
  </si>
  <si>
    <t>13652324282</t>
  </si>
  <si>
    <t>3#401</t>
  </si>
  <si>
    <t>SS-03-402</t>
  </si>
  <si>
    <t>3#402</t>
  </si>
  <si>
    <t>SS-03-403</t>
  </si>
  <si>
    <t>尚友连</t>
  </si>
  <si>
    <t>13049886838</t>
  </si>
  <si>
    <t>3#403</t>
  </si>
  <si>
    <t>SS-03-404</t>
  </si>
  <si>
    <t>3#404</t>
  </si>
  <si>
    <t>SS-03-405</t>
  </si>
  <si>
    <t>徐修昆</t>
  </si>
  <si>
    <t>13418621386</t>
  </si>
  <si>
    <t>3#405</t>
  </si>
  <si>
    <t>SS-03-406</t>
  </si>
  <si>
    <t>吴书容</t>
  </si>
  <si>
    <t>13662673177</t>
  </si>
  <si>
    <t>3#406</t>
  </si>
  <si>
    <t>SS-03-407</t>
  </si>
  <si>
    <t>3#407</t>
  </si>
  <si>
    <t>SS-03-408</t>
  </si>
  <si>
    <t>卢海云</t>
  </si>
  <si>
    <t>13410923945</t>
  </si>
  <si>
    <t>3#408</t>
  </si>
  <si>
    <t>SS-03-409</t>
  </si>
  <si>
    <t>3#409</t>
  </si>
  <si>
    <t>SS-03-410</t>
  </si>
  <si>
    <t>441522 19780909 0056</t>
  </si>
  <si>
    <t>刘信锐</t>
  </si>
  <si>
    <t>13823607909</t>
  </si>
  <si>
    <t>3#410</t>
  </si>
  <si>
    <t>SS-03-5F</t>
  </si>
  <si>
    <t>3#5F</t>
  </si>
  <si>
    <t>SS-04-101</t>
  </si>
  <si>
    <t>深圳技音电子有限公司</t>
  </si>
  <si>
    <t>薛森荣</t>
  </si>
  <si>
    <t>13902967586</t>
  </si>
  <si>
    <t>4#101</t>
  </si>
  <si>
    <t>SS-04-102</t>
  </si>
  <si>
    <t>赖柳玲</t>
  </si>
  <si>
    <t>13682305001</t>
  </si>
  <si>
    <t>4#102</t>
  </si>
  <si>
    <t>SS-04-103</t>
  </si>
  <si>
    <t>陈建勇</t>
  </si>
  <si>
    <t>4#103</t>
  </si>
  <si>
    <t>SS-04-104</t>
  </si>
  <si>
    <t>4#104</t>
  </si>
  <si>
    <t>周伟明</t>
  </si>
  <si>
    <t>13528799216</t>
  </si>
  <si>
    <t>2019-01-21--2019-03-31</t>
  </si>
  <si>
    <t>2019-01-21</t>
  </si>
  <si>
    <t>SS-04-105</t>
  </si>
  <si>
    <t>4#105</t>
  </si>
  <si>
    <t>SS-04-106</t>
  </si>
  <si>
    <t>4#106</t>
  </si>
  <si>
    <t>SS-04-107</t>
  </si>
  <si>
    <t>4#107</t>
  </si>
  <si>
    <t>SS-04-108</t>
  </si>
  <si>
    <t>4#108</t>
  </si>
  <si>
    <t>SS-04-109</t>
  </si>
  <si>
    <t>4#109</t>
  </si>
  <si>
    <t>SS-04-110</t>
  </si>
  <si>
    <t>4#110</t>
  </si>
  <si>
    <t>SS-04-111</t>
  </si>
  <si>
    <t>4#111</t>
  </si>
  <si>
    <t>SS-04-112</t>
  </si>
  <si>
    <t>4#112</t>
  </si>
  <si>
    <t>SS-04-2F</t>
  </si>
  <si>
    <t>4#2F</t>
  </si>
  <si>
    <t>SS-04-301</t>
  </si>
  <si>
    <t>黄学省</t>
  </si>
  <si>
    <t>13662650110</t>
  </si>
  <si>
    <t>4#301</t>
  </si>
  <si>
    <t>SS-04-302</t>
  </si>
  <si>
    <t>4#302</t>
  </si>
  <si>
    <t>SS-04-303</t>
  </si>
  <si>
    <t>4#303</t>
  </si>
  <si>
    <t>SS-04-304</t>
  </si>
  <si>
    <t>4#304</t>
  </si>
  <si>
    <t>SS-04-305</t>
  </si>
  <si>
    <t>4#305</t>
  </si>
  <si>
    <t>SS-04-306</t>
  </si>
  <si>
    <t>4#306</t>
  </si>
  <si>
    <t>SS-04-307</t>
  </si>
  <si>
    <t>4#307</t>
  </si>
  <si>
    <t>SS-04-308</t>
  </si>
  <si>
    <t>曹金友</t>
  </si>
  <si>
    <t>13410848212</t>
  </si>
  <si>
    <t>4#308</t>
  </si>
  <si>
    <t>SS-04-309</t>
  </si>
  <si>
    <t>董双喜</t>
  </si>
  <si>
    <t>18682402849</t>
  </si>
  <si>
    <t>4#309</t>
  </si>
  <si>
    <t>SS-04-310</t>
  </si>
  <si>
    <t>4#310</t>
  </si>
  <si>
    <t>SS-04-311</t>
  </si>
  <si>
    <t>4#311</t>
  </si>
  <si>
    <t>SS-04-312</t>
  </si>
  <si>
    <t>4#312</t>
  </si>
  <si>
    <t>SS-04-401</t>
  </si>
  <si>
    <t>周国锋服装公司</t>
  </si>
  <si>
    <t>4#401</t>
  </si>
  <si>
    <t>SS-04-402</t>
  </si>
  <si>
    <t>4#402</t>
  </si>
  <si>
    <t>SS-04-403</t>
  </si>
  <si>
    <t>张红军</t>
  </si>
  <si>
    <t>13430799067</t>
  </si>
  <si>
    <t>4#403</t>
  </si>
  <si>
    <t>SS-04-404</t>
  </si>
  <si>
    <t>4#404</t>
  </si>
  <si>
    <t>SS-04-405</t>
  </si>
  <si>
    <t>4#405</t>
  </si>
  <si>
    <t>SS-04-406</t>
  </si>
  <si>
    <t>4#406</t>
  </si>
  <si>
    <t>SS-04-407</t>
  </si>
  <si>
    <t>朱小丽</t>
  </si>
  <si>
    <t>13590135990</t>
  </si>
  <si>
    <t>4#407</t>
  </si>
  <si>
    <t>SS-04-408</t>
  </si>
  <si>
    <t>4#408</t>
  </si>
  <si>
    <t>SS-04-409</t>
  </si>
  <si>
    <t>4#409</t>
  </si>
  <si>
    <t>SS-04-410</t>
  </si>
  <si>
    <t>4#410</t>
  </si>
  <si>
    <t>SS-04-411</t>
  </si>
  <si>
    <t>4#411</t>
  </si>
  <si>
    <t>SS-04-412</t>
  </si>
  <si>
    <t>4#412</t>
  </si>
  <si>
    <t>SS-04-501</t>
  </si>
  <si>
    <t>4#501</t>
  </si>
  <si>
    <t>SS-04-502</t>
  </si>
  <si>
    <t>4#502</t>
  </si>
  <si>
    <t>SS-04-503</t>
  </si>
  <si>
    <t>4#503</t>
  </si>
  <si>
    <t>SS-04-504</t>
  </si>
  <si>
    <t>4#504</t>
  </si>
  <si>
    <t>SS-04-505</t>
  </si>
  <si>
    <t>4#505</t>
  </si>
  <si>
    <t>SS-04-506</t>
  </si>
  <si>
    <t>4#506</t>
  </si>
  <si>
    <t>SS-04-507</t>
  </si>
  <si>
    <t>杨章余</t>
  </si>
  <si>
    <t>13689501076</t>
  </si>
  <si>
    <t>4#507</t>
  </si>
  <si>
    <t>SS-04-508</t>
  </si>
  <si>
    <t>4#508</t>
  </si>
  <si>
    <t>SS-04-509</t>
  </si>
  <si>
    <t>蒋上银</t>
  </si>
  <si>
    <t>13530174613</t>
  </si>
  <si>
    <t>4#509</t>
  </si>
  <si>
    <t>SS-04-510</t>
  </si>
  <si>
    <t>木占喜</t>
  </si>
  <si>
    <t>18320757158</t>
  </si>
  <si>
    <t>4#510</t>
  </si>
  <si>
    <t>SS-04-511</t>
  </si>
  <si>
    <t>刘兵</t>
  </si>
  <si>
    <t>18926010366</t>
  </si>
  <si>
    <t>4#511</t>
  </si>
  <si>
    <t>SS-04-512</t>
  </si>
  <si>
    <t>欧阳运平</t>
  </si>
  <si>
    <t>13632972466</t>
  </si>
  <si>
    <t>4#512</t>
  </si>
  <si>
    <t>SS-04-6F</t>
  </si>
  <si>
    <t>4#6F</t>
  </si>
  <si>
    <t>SS-04-701</t>
  </si>
  <si>
    <t>4#701</t>
  </si>
  <si>
    <t>SS-04-702</t>
  </si>
  <si>
    <t>4#702</t>
  </si>
  <si>
    <t>SS-04-703</t>
  </si>
  <si>
    <t>吴盛波</t>
  </si>
  <si>
    <t>13715003342</t>
  </si>
  <si>
    <t>4#703</t>
  </si>
  <si>
    <t>SS-04-704</t>
  </si>
  <si>
    <t>罗驹波</t>
  </si>
  <si>
    <t>13717052385</t>
  </si>
  <si>
    <t>4#704</t>
  </si>
  <si>
    <t>SS-04-705</t>
  </si>
  <si>
    <t>4#705</t>
  </si>
  <si>
    <t>SS-04-706</t>
  </si>
  <si>
    <t>4#706</t>
  </si>
  <si>
    <t>SS-04-707</t>
  </si>
  <si>
    <t>杜海新</t>
  </si>
  <si>
    <t>13352995962</t>
  </si>
  <si>
    <t>4#707</t>
  </si>
  <si>
    <t>SS-04-708</t>
  </si>
  <si>
    <t>4#708</t>
  </si>
  <si>
    <t>SS-04-709</t>
  </si>
  <si>
    <t>林颖颖</t>
  </si>
  <si>
    <t>18300004435</t>
  </si>
  <si>
    <t>4#709</t>
  </si>
  <si>
    <t>SS-04-710</t>
  </si>
  <si>
    <t>4#710</t>
  </si>
  <si>
    <t>SS-04-711</t>
  </si>
  <si>
    <t>4#711</t>
  </si>
  <si>
    <t>SS-04-712</t>
  </si>
  <si>
    <t>4#712</t>
  </si>
  <si>
    <t>SS-05</t>
  </si>
  <si>
    <t>5#ZD</t>
  </si>
  <si>
    <t>SS-06-02LTJ</t>
  </si>
  <si>
    <t>李治松</t>
  </si>
  <si>
    <t>13679661509</t>
  </si>
  <si>
    <t>6#M02</t>
  </si>
  <si>
    <t>2018-03-15--2019-03-14</t>
  </si>
  <si>
    <t>2018-03-15</t>
  </si>
  <si>
    <t>SS-06-03LTJ</t>
  </si>
  <si>
    <t>程明</t>
  </si>
  <si>
    <t>15999525071</t>
  </si>
  <si>
    <t>6#M03</t>
  </si>
  <si>
    <t>2019-03-05--2020-03-04</t>
  </si>
  <si>
    <t>2019-03-05</t>
  </si>
  <si>
    <t>SS-06-04LTJ</t>
  </si>
  <si>
    <t>6#M04</t>
  </si>
  <si>
    <t>SS-06-05LTJ</t>
  </si>
  <si>
    <t>杨水国</t>
  </si>
  <si>
    <t>13622886236</t>
  </si>
  <si>
    <t>6#M05</t>
  </si>
  <si>
    <t>2019-02-26--2020-08-31</t>
  </si>
  <si>
    <t>2019-02-26</t>
  </si>
  <si>
    <t>SS-06-06LTJ</t>
  </si>
  <si>
    <t>刘秀芳</t>
  </si>
  <si>
    <t>15071661936</t>
  </si>
  <si>
    <t>6#M06</t>
  </si>
  <si>
    <t>SS-06-07LTJ</t>
  </si>
  <si>
    <t>何章明</t>
  </si>
  <si>
    <t>13249895959</t>
  </si>
  <si>
    <t>6#M07</t>
  </si>
  <si>
    <t>2019-03-11--2019-04-30</t>
  </si>
  <si>
    <t>2019-03-11</t>
  </si>
  <si>
    <t>SS-06-101</t>
  </si>
  <si>
    <t>6#101</t>
  </si>
  <si>
    <t>2019-03-10--2020-03-09</t>
  </si>
  <si>
    <t>2019-03-10</t>
  </si>
  <si>
    <t>SS-06-102</t>
  </si>
  <si>
    <t>6#102</t>
  </si>
  <si>
    <t>SS-06-103</t>
  </si>
  <si>
    <t>6#103</t>
  </si>
  <si>
    <t>SS-06-104</t>
  </si>
  <si>
    <t>周健英</t>
  </si>
  <si>
    <t>13725525122</t>
  </si>
  <si>
    <t>6#104</t>
  </si>
  <si>
    <t>2018-12-12--2019-06-11</t>
  </si>
  <si>
    <t>SS-06-105</t>
  </si>
  <si>
    <t>深圳市傲天手游网络科技有限公司</t>
  </si>
  <si>
    <t>董立成</t>
  </si>
  <si>
    <t>13246772222</t>
  </si>
  <si>
    <t>6#105</t>
  </si>
  <si>
    <t>2018-07-10--2019-06-30</t>
  </si>
  <si>
    <t>2018-07-10</t>
  </si>
  <si>
    <t>SS-06-106</t>
  </si>
  <si>
    <t>冯晓忠</t>
  </si>
  <si>
    <t>18603005886</t>
  </si>
  <si>
    <t>6#106</t>
  </si>
  <si>
    <t>2018-09-07--2019-09-06</t>
  </si>
  <si>
    <t>2018-09-07</t>
  </si>
  <si>
    <t>SS-06-107</t>
  </si>
  <si>
    <t>6#107</t>
  </si>
  <si>
    <t>SS-06-108</t>
  </si>
  <si>
    <t>深圳市柠檬树科技有限公司</t>
  </si>
  <si>
    <t>刘星</t>
  </si>
  <si>
    <t>13823583987</t>
  </si>
  <si>
    <t>6#108</t>
  </si>
  <si>
    <t>2019-01-16--2019-06-15</t>
  </si>
  <si>
    <t>SS-06-109</t>
  </si>
  <si>
    <t>蔡云翔</t>
  </si>
  <si>
    <t>18589080629</t>
  </si>
  <si>
    <t>6#109</t>
  </si>
  <si>
    <t>2018-09-15--2019-03-31</t>
  </si>
  <si>
    <t>2018-09-15</t>
  </si>
  <si>
    <t>SS-06-110</t>
  </si>
  <si>
    <t>6#110</t>
  </si>
  <si>
    <t>SS-06-111</t>
  </si>
  <si>
    <t>李绪臣</t>
  </si>
  <si>
    <t>18988757679</t>
  </si>
  <si>
    <t>6#111</t>
  </si>
  <si>
    <t>SS-06-112</t>
  </si>
  <si>
    <t>6#112</t>
  </si>
  <si>
    <t>SS-06-301</t>
  </si>
  <si>
    <t>曹白阳</t>
  </si>
  <si>
    <t>6#301</t>
  </si>
  <si>
    <t>2018-09-08--2019-08-31</t>
  </si>
  <si>
    <t>2018-09-08</t>
  </si>
  <si>
    <t>SS-06-302</t>
  </si>
  <si>
    <t>江红犁</t>
  </si>
  <si>
    <t>18870251577</t>
  </si>
  <si>
    <t>6#302</t>
  </si>
  <si>
    <t>2018-09-14--2019-03-31</t>
  </si>
  <si>
    <t>2018-09-14</t>
  </si>
  <si>
    <t>2019-04-01--2019-04-30</t>
  </si>
  <si>
    <t>2019-04-01</t>
  </si>
  <si>
    <t>SS-06-303</t>
  </si>
  <si>
    <t>6#303</t>
  </si>
  <si>
    <t>SS-06-304</t>
  </si>
  <si>
    <t>6#304</t>
  </si>
  <si>
    <t>SS-06-305</t>
  </si>
  <si>
    <t>熊伟</t>
  </si>
  <si>
    <t>13530492541</t>
  </si>
  <si>
    <t>6#305</t>
  </si>
  <si>
    <t>2019-02-22--2019-05-31</t>
  </si>
  <si>
    <t>2019-02-22</t>
  </si>
  <si>
    <t>SS-06-306</t>
  </si>
  <si>
    <t>深圳市快中快农产品有限公司</t>
  </si>
  <si>
    <t>靳勇为</t>
  </si>
  <si>
    <t>13823655601</t>
  </si>
  <si>
    <t>6#306</t>
  </si>
  <si>
    <t>2018-05-07--2019-04-30</t>
  </si>
  <si>
    <t>2018-05-07</t>
  </si>
  <si>
    <t>SS-06-307</t>
  </si>
  <si>
    <t>6#307</t>
  </si>
  <si>
    <t>SS-06-308</t>
  </si>
  <si>
    <t>田博文</t>
  </si>
  <si>
    <t>19940753197</t>
  </si>
  <si>
    <t>6#308</t>
  </si>
  <si>
    <t>2018-09-04--2019-02-28</t>
  </si>
  <si>
    <t>2018-09-04</t>
  </si>
  <si>
    <t>SS-06-309</t>
  </si>
  <si>
    <t>6#309</t>
  </si>
  <si>
    <t>SS-06-310</t>
  </si>
  <si>
    <t>6#310</t>
  </si>
  <si>
    <t>2018-07-07--2019-07-31</t>
  </si>
  <si>
    <t>2018-07-07</t>
  </si>
  <si>
    <t>SS-06-311</t>
  </si>
  <si>
    <t>6#311</t>
  </si>
  <si>
    <t>SS-06-312</t>
  </si>
  <si>
    <t>6#312</t>
  </si>
  <si>
    <t>2017-09-08--2019-09-07</t>
  </si>
  <si>
    <t>2017-09-08</t>
  </si>
  <si>
    <t>SS-06-401</t>
  </si>
  <si>
    <t>6#401</t>
  </si>
  <si>
    <t>SS-06-402</t>
  </si>
  <si>
    <t>6#402</t>
  </si>
  <si>
    <t>SS-06-403</t>
  </si>
  <si>
    <t>宋宇龙</t>
  </si>
  <si>
    <t>18965858056</t>
  </si>
  <si>
    <t>6#403</t>
  </si>
  <si>
    <t>SS-06-404</t>
  </si>
  <si>
    <t>深圳书城新华书业连锁总部有限公司</t>
  </si>
  <si>
    <t>13828778508</t>
  </si>
  <si>
    <t>6#404</t>
  </si>
  <si>
    <t>2018-11-10--2019-11-09</t>
  </si>
  <si>
    <t>2018-11-10</t>
  </si>
  <si>
    <t>SS-06-405</t>
  </si>
  <si>
    <t>6#405</t>
  </si>
  <si>
    <t>SS-06-406</t>
  </si>
  <si>
    <t>6#406</t>
  </si>
  <si>
    <t>SS-06-407</t>
  </si>
  <si>
    <t>杨伍德</t>
  </si>
  <si>
    <t>18681540415</t>
  </si>
  <si>
    <t>18873855727</t>
  </si>
  <si>
    <t>6#407</t>
  </si>
  <si>
    <t>2018-09-26--2019-09-30</t>
  </si>
  <si>
    <t>2018-09-26</t>
  </si>
  <si>
    <t>SS-06-408</t>
  </si>
  <si>
    <t>骏月信息咨询（深圳）有限公司</t>
  </si>
  <si>
    <t>谢应兰</t>
  </si>
  <si>
    <t>13823773962</t>
  </si>
  <si>
    <t>6#408</t>
  </si>
  <si>
    <t>2018-10-20--2019-04-19</t>
  </si>
  <si>
    <t>2018-10-20</t>
  </si>
  <si>
    <t>SS-06-409</t>
  </si>
  <si>
    <t>刘玉梅</t>
  </si>
  <si>
    <t>13825298873</t>
  </si>
  <si>
    <t>6#409</t>
  </si>
  <si>
    <t>SS-06-410</t>
  </si>
  <si>
    <t>戴琴周</t>
  </si>
  <si>
    <t>13714114496</t>
  </si>
  <si>
    <t>6#410</t>
  </si>
  <si>
    <t>SS-06-411</t>
  </si>
  <si>
    <t>6#411</t>
  </si>
  <si>
    <t>SS-06-412</t>
  </si>
  <si>
    <t>6#412</t>
  </si>
  <si>
    <t>2019-03-10--2019-06-30</t>
  </si>
  <si>
    <t>SS-06-501</t>
  </si>
  <si>
    <t>郑丽芹</t>
  </si>
  <si>
    <t>13008831948</t>
  </si>
  <si>
    <t>6#501</t>
  </si>
  <si>
    <t>2018-09-11--2019-02-28</t>
  </si>
  <si>
    <t>2018-09-11</t>
  </si>
  <si>
    <t>SS-06-502</t>
  </si>
  <si>
    <t>6#502</t>
  </si>
  <si>
    <t>SS-06-503</t>
  </si>
  <si>
    <t>6#503</t>
  </si>
  <si>
    <t>SS-06-504</t>
  </si>
  <si>
    <t>李康玲</t>
  </si>
  <si>
    <t>15889855072</t>
  </si>
  <si>
    <t>6#504</t>
  </si>
  <si>
    <t>SS-06-505</t>
  </si>
  <si>
    <t>董翰桦</t>
  </si>
  <si>
    <t>18852850455</t>
  </si>
  <si>
    <t>6#505</t>
  </si>
  <si>
    <t>2019-01-01--2019-06-30</t>
  </si>
  <si>
    <t>SS-06-506</t>
  </si>
  <si>
    <t>6#506</t>
  </si>
  <si>
    <t>SS-06-507</t>
  </si>
  <si>
    <t>梁小华</t>
  </si>
  <si>
    <t>13543313971</t>
  </si>
  <si>
    <t>6#507</t>
  </si>
  <si>
    <t>SS-06-508</t>
  </si>
  <si>
    <t>陈文康</t>
  </si>
  <si>
    <t>13410917760</t>
  </si>
  <si>
    <t>6#508</t>
  </si>
  <si>
    <t>2018-06-11--2019-06-10</t>
  </si>
  <si>
    <t>2018-06-11</t>
  </si>
  <si>
    <t>SS-06-509</t>
  </si>
  <si>
    <t>6#509</t>
  </si>
  <si>
    <t>2018-10-01--2019-05-31</t>
  </si>
  <si>
    <t>SS-06-510</t>
  </si>
  <si>
    <t>莫尚丽</t>
  </si>
  <si>
    <t>17727837527</t>
  </si>
  <si>
    <t>6#510</t>
  </si>
  <si>
    <t>SS-06-511</t>
  </si>
  <si>
    <t>6#511</t>
  </si>
  <si>
    <t>SS-06-512</t>
  </si>
  <si>
    <t>张亮全</t>
  </si>
  <si>
    <t>13713806419</t>
  </si>
  <si>
    <t>6#512</t>
  </si>
  <si>
    <t>2019-02-01--2019-03-31</t>
  </si>
  <si>
    <t>2019-04-01--2019-12-31</t>
  </si>
  <si>
    <t>SS-06-601</t>
  </si>
  <si>
    <t>杨勤艳</t>
  </si>
  <si>
    <t>18824612782</t>
  </si>
  <si>
    <t>6#601</t>
  </si>
  <si>
    <t>SS-06-602</t>
  </si>
  <si>
    <t>胡燕</t>
  </si>
  <si>
    <t>18320976323</t>
  </si>
  <si>
    <t>6#602</t>
  </si>
  <si>
    <t>SS-06-603</t>
  </si>
  <si>
    <t>李永存</t>
  </si>
  <si>
    <t>13751176600</t>
  </si>
  <si>
    <t>6#603</t>
  </si>
  <si>
    <t>2018-11-10--2019-04-30</t>
  </si>
  <si>
    <t>SS-06-604</t>
  </si>
  <si>
    <t>李大永</t>
  </si>
  <si>
    <t>13631565979</t>
  </si>
  <si>
    <t>6#604</t>
  </si>
  <si>
    <t>SS-06-605</t>
  </si>
  <si>
    <t>覃轩</t>
  </si>
  <si>
    <t>13323928653</t>
  </si>
  <si>
    <t>6#605</t>
  </si>
  <si>
    <t>2018-09-08--2019-09-30</t>
  </si>
  <si>
    <t>SS-06-606</t>
  </si>
  <si>
    <t>6#606</t>
  </si>
  <si>
    <t>2019-03-20--2019-09-30</t>
  </si>
  <si>
    <t>2019-03-20</t>
  </si>
  <si>
    <t>SS-06-607</t>
  </si>
  <si>
    <t>杨愉</t>
  </si>
  <si>
    <t>13060740521</t>
  </si>
  <si>
    <t>13267820888</t>
  </si>
  <si>
    <t>6#607</t>
  </si>
  <si>
    <t>2018-08-10--2019-03-09</t>
  </si>
  <si>
    <t>2018-08-10</t>
  </si>
  <si>
    <t>SS-06-608</t>
  </si>
  <si>
    <t>李华平</t>
  </si>
  <si>
    <t>19928804511</t>
  </si>
  <si>
    <t>6#608</t>
  </si>
  <si>
    <t>2018-04-02--2019-04-01</t>
  </si>
  <si>
    <t>2018-04-02</t>
  </si>
  <si>
    <t>SS-06-609</t>
  </si>
  <si>
    <t>6#609</t>
  </si>
  <si>
    <t>SS-06-610</t>
  </si>
  <si>
    <t>彭楚楚</t>
  </si>
  <si>
    <t>15927259617</t>
  </si>
  <si>
    <t>6#610</t>
  </si>
  <si>
    <t>SS-06-611</t>
  </si>
  <si>
    <t>6#611</t>
  </si>
  <si>
    <t>SS-06-612</t>
  </si>
  <si>
    <t>戴定年</t>
  </si>
  <si>
    <t>13476774447</t>
  </si>
  <si>
    <t>6#612</t>
  </si>
  <si>
    <t>SS-07</t>
  </si>
  <si>
    <t>7#ZD</t>
  </si>
  <si>
    <t>SS-08-01LTJ</t>
  </si>
  <si>
    <t>8#01楼梯间</t>
  </si>
  <si>
    <t>SS-08-02LTJ</t>
  </si>
  <si>
    <t>8#02楼梯间</t>
  </si>
  <si>
    <t>SS-08-03LTJ</t>
  </si>
  <si>
    <t>8#03楼梯间</t>
  </si>
  <si>
    <t>SS-08-04LTJ</t>
  </si>
  <si>
    <t>8#04楼梯间</t>
  </si>
  <si>
    <t>SS-08-05LTJ</t>
  </si>
  <si>
    <t>8#05楼梯间</t>
  </si>
  <si>
    <t>SS-08-06LTJ</t>
  </si>
  <si>
    <t>8#06楼梯间</t>
  </si>
  <si>
    <t>SS-08-07LTJ</t>
  </si>
  <si>
    <t>8#07楼梯间</t>
  </si>
  <si>
    <t>SS-08-101</t>
  </si>
  <si>
    <t>8#101</t>
  </si>
  <si>
    <t>SS-08-102</t>
  </si>
  <si>
    <t>8#102</t>
  </si>
  <si>
    <t>SS-08-103</t>
  </si>
  <si>
    <t>8#103</t>
  </si>
  <si>
    <t>SS-08-104</t>
  </si>
  <si>
    <t>8#104</t>
  </si>
  <si>
    <t>SS-08-105</t>
  </si>
  <si>
    <t>8#105</t>
  </si>
  <si>
    <t>SS-08-106</t>
  </si>
  <si>
    <t>8#106</t>
  </si>
  <si>
    <t>SS-08-107</t>
  </si>
  <si>
    <t>8#107</t>
  </si>
  <si>
    <t>SS-08-108</t>
  </si>
  <si>
    <t>8#108</t>
  </si>
  <si>
    <t>SS-08-109</t>
  </si>
  <si>
    <t>8#109</t>
  </si>
  <si>
    <t>SS-08-110</t>
  </si>
  <si>
    <t>8#110</t>
  </si>
  <si>
    <t>SS-08-111</t>
  </si>
  <si>
    <t>8#111</t>
  </si>
  <si>
    <t>SS-08-112</t>
  </si>
  <si>
    <t>8#112</t>
  </si>
  <si>
    <t>SS-08-301</t>
  </si>
  <si>
    <t>8#301</t>
  </si>
  <si>
    <t>SS-08-302</t>
  </si>
  <si>
    <t>8#302</t>
  </si>
  <si>
    <t>SS-08-303</t>
  </si>
  <si>
    <t>8#303</t>
  </si>
  <si>
    <t>SS-08-304</t>
  </si>
  <si>
    <t>8#304</t>
  </si>
  <si>
    <t>SS-08-305</t>
  </si>
  <si>
    <t>8#305</t>
  </si>
  <si>
    <t>SS-08-306</t>
  </si>
  <si>
    <t>8#306</t>
  </si>
  <si>
    <t>SS-08-307</t>
  </si>
  <si>
    <t>8#307</t>
  </si>
  <si>
    <t>SS-08-308</t>
  </si>
  <si>
    <t>8#308</t>
  </si>
  <si>
    <t>SS-08-309</t>
  </si>
  <si>
    <t>8#309</t>
  </si>
  <si>
    <t>SS-08-310</t>
  </si>
  <si>
    <t>8#310</t>
  </si>
  <si>
    <t>SS-08-311</t>
  </si>
  <si>
    <t>8#311</t>
  </si>
  <si>
    <t>SS-08-312</t>
  </si>
  <si>
    <t>8#312</t>
  </si>
  <si>
    <t>SS-08-401</t>
  </si>
  <si>
    <t>8#401</t>
  </si>
  <si>
    <t>SS-08-402</t>
  </si>
  <si>
    <t>8#402</t>
  </si>
  <si>
    <t>SS-08-403</t>
  </si>
  <si>
    <t>8#403</t>
  </si>
  <si>
    <t>SS-08-404</t>
  </si>
  <si>
    <t>8#404</t>
  </si>
  <si>
    <t>SS-08-405</t>
  </si>
  <si>
    <t>8#405</t>
  </si>
  <si>
    <t>SS-08-406</t>
  </si>
  <si>
    <t>8#406</t>
  </si>
  <si>
    <t>SS-08-407</t>
  </si>
  <si>
    <t>8#407</t>
  </si>
  <si>
    <t>SS-08-408</t>
  </si>
  <si>
    <t>8#408</t>
  </si>
  <si>
    <t>SS-08-409</t>
  </si>
  <si>
    <t>8#409</t>
  </si>
  <si>
    <t>SS-08-410</t>
  </si>
  <si>
    <t>8#410</t>
  </si>
  <si>
    <t>SS-08-411</t>
  </si>
  <si>
    <t>8#411</t>
  </si>
  <si>
    <t>SS-08-412</t>
  </si>
  <si>
    <t>8#412</t>
  </si>
  <si>
    <t>SS-08-501</t>
  </si>
  <si>
    <t>8#501</t>
  </si>
  <si>
    <t>SS-08-502</t>
  </si>
  <si>
    <t>8#502</t>
  </si>
  <si>
    <t>SS-08-503</t>
  </si>
  <si>
    <t>8#503</t>
  </si>
  <si>
    <t>SS-08-504</t>
  </si>
  <si>
    <t>8#504</t>
  </si>
  <si>
    <t>SS-08-505</t>
  </si>
  <si>
    <t>8#505</t>
  </si>
  <si>
    <t>SS-08-506</t>
  </si>
  <si>
    <t>8#506</t>
  </si>
  <si>
    <t>SS-08-507</t>
  </si>
  <si>
    <t>8#507</t>
  </si>
  <si>
    <t>SS-08-508</t>
  </si>
  <si>
    <t>8#508</t>
  </si>
  <si>
    <t>SS-08-509</t>
  </si>
  <si>
    <t>8#509</t>
  </si>
  <si>
    <t>SS-08-510</t>
  </si>
  <si>
    <t>8#510</t>
  </si>
  <si>
    <t>SS-08-511</t>
  </si>
  <si>
    <t>8#511</t>
  </si>
  <si>
    <t>SS-08-512</t>
  </si>
  <si>
    <t>8#512</t>
  </si>
  <si>
    <t>SS-08-601</t>
  </si>
  <si>
    <t>8#601</t>
  </si>
  <si>
    <t>SS-08-602</t>
  </si>
  <si>
    <t>8#602</t>
  </si>
  <si>
    <t>SS-08-603</t>
  </si>
  <si>
    <t>8#603</t>
  </si>
  <si>
    <t>SS-08-604</t>
  </si>
  <si>
    <t>8#604</t>
  </si>
  <si>
    <t>SS-08-605</t>
  </si>
  <si>
    <t>8#605</t>
  </si>
  <si>
    <t>SS-08-606</t>
  </si>
  <si>
    <t>8#606</t>
  </si>
  <si>
    <t>SS-08-607</t>
  </si>
  <si>
    <t>8#607</t>
  </si>
  <si>
    <t>SS-08-608</t>
  </si>
  <si>
    <t>8#608</t>
  </si>
  <si>
    <t>SS-08-609</t>
  </si>
  <si>
    <t>8#609</t>
  </si>
  <si>
    <t>SS-08-610</t>
  </si>
  <si>
    <t>8#610</t>
  </si>
  <si>
    <t>SS-08-611</t>
  </si>
  <si>
    <t>8#611</t>
  </si>
  <si>
    <t>SS-08-612</t>
  </si>
  <si>
    <t>8#612</t>
  </si>
  <si>
    <t>SS-08-701</t>
  </si>
  <si>
    <t>8#701</t>
  </si>
  <si>
    <t>SS-08-702</t>
  </si>
  <si>
    <t>8#702</t>
  </si>
  <si>
    <t>SS-08-703</t>
  </si>
  <si>
    <t>8#703</t>
  </si>
  <si>
    <t>SS-08-704</t>
  </si>
  <si>
    <t>8#704</t>
  </si>
  <si>
    <t>SS-08-705</t>
  </si>
  <si>
    <t>8#705</t>
  </si>
  <si>
    <t>SS-08-706</t>
  </si>
  <si>
    <t>8#706</t>
  </si>
  <si>
    <t>SS-08-707</t>
  </si>
  <si>
    <t>8#707</t>
  </si>
  <si>
    <t>SS-08-708</t>
  </si>
  <si>
    <t>8#708</t>
  </si>
  <si>
    <t>SS-08-709</t>
  </si>
  <si>
    <t>8#709</t>
  </si>
  <si>
    <t>SS-08-710</t>
  </si>
  <si>
    <t>8#710</t>
  </si>
  <si>
    <t>SS-08-711</t>
  </si>
  <si>
    <t>8#711</t>
  </si>
  <si>
    <t>SS-08-712</t>
  </si>
  <si>
    <t>8#712</t>
  </si>
  <si>
    <t>9#宿舍</t>
  </si>
  <si>
    <t>SS-09-101</t>
  </si>
  <si>
    <t>9#101</t>
  </si>
  <si>
    <t>2019-03-01--2020-02-29</t>
  </si>
  <si>
    <t>SS-09-102</t>
  </si>
  <si>
    <t>9#102</t>
  </si>
  <si>
    <t>SS-09-103</t>
  </si>
  <si>
    <t>9#103</t>
  </si>
  <si>
    <t>SS-09-104</t>
  </si>
  <si>
    <t>9#104</t>
  </si>
  <si>
    <t>SS-09-105</t>
  </si>
  <si>
    <t>9#105</t>
  </si>
  <si>
    <t>SS-09-106</t>
  </si>
  <si>
    <t>9#106</t>
  </si>
  <si>
    <t>SS-09-107</t>
  </si>
  <si>
    <t>黄坤光</t>
  </si>
  <si>
    <t>13922841487</t>
  </si>
  <si>
    <t>9#107</t>
  </si>
  <si>
    <t>SS-09-108</t>
  </si>
  <si>
    <t>李绍云</t>
  </si>
  <si>
    <t>18681453327</t>
  </si>
  <si>
    <t>9#108</t>
  </si>
  <si>
    <t>2019-04-01--2020-03-31</t>
  </si>
  <si>
    <t>SS-09-109</t>
  </si>
  <si>
    <t>9#109</t>
  </si>
  <si>
    <t>SS-09-110</t>
  </si>
  <si>
    <t>9#110</t>
  </si>
  <si>
    <t>SS-09-2F</t>
  </si>
  <si>
    <t>9#2F</t>
  </si>
  <si>
    <t>SS-09-301</t>
  </si>
  <si>
    <t>谭跃平</t>
  </si>
  <si>
    <t>18138827962</t>
  </si>
  <si>
    <t>9#301</t>
  </si>
  <si>
    <t>SS-09-302</t>
  </si>
  <si>
    <t>刘光正</t>
  </si>
  <si>
    <t>9#302</t>
  </si>
  <si>
    <t>SS-09-303</t>
  </si>
  <si>
    <t>9#303</t>
  </si>
  <si>
    <t>SS-09-304</t>
  </si>
  <si>
    <t>9#304</t>
  </si>
  <si>
    <t>SS-09-305</t>
  </si>
  <si>
    <t>邹记有</t>
  </si>
  <si>
    <t>13530008368</t>
  </si>
  <si>
    <t>9#305</t>
  </si>
  <si>
    <t>SS-09-306</t>
  </si>
  <si>
    <t>9#306</t>
  </si>
  <si>
    <t>SS-09-307</t>
  </si>
  <si>
    <t>黄月金</t>
  </si>
  <si>
    <t>13554846788</t>
  </si>
  <si>
    <t>9#307</t>
  </si>
  <si>
    <t>SS-09-308</t>
  </si>
  <si>
    <t>钟浚</t>
  </si>
  <si>
    <t>钟 浚</t>
  </si>
  <si>
    <t>13802254395</t>
  </si>
  <si>
    <t>9#308</t>
  </si>
  <si>
    <t>SS-09-309</t>
  </si>
  <si>
    <t>丁晓琳</t>
  </si>
  <si>
    <t>13265418499</t>
  </si>
  <si>
    <t>9#309</t>
  </si>
  <si>
    <t>SS-09-310</t>
  </si>
  <si>
    <t>游荣新</t>
  </si>
  <si>
    <t>13249833821</t>
  </si>
  <si>
    <t>9#310</t>
  </si>
  <si>
    <t>SS-09-601</t>
  </si>
  <si>
    <t>9#601</t>
  </si>
  <si>
    <t>2018-09-16--2019-08-31</t>
  </si>
  <si>
    <t>2018-09-16</t>
  </si>
  <si>
    <t>SS-09-602</t>
  </si>
  <si>
    <t>易桃香</t>
  </si>
  <si>
    <t>13049823375</t>
  </si>
  <si>
    <t>9#602</t>
  </si>
  <si>
    <t>SS-09-603</t>
  </si>
  <si>
    <t>方正勇</t>
  </si>
  <si>
    <t>13970267911</t>
  </si>
  <si>
    <t>9#603</t>
  </si>
  <si>
    <t>2018-02-01--2019-01-31</t>
  </si>
  <si>
    <t>2018-02-01</t>
  </si>
  <si>
    <t>SS-09-604</t>
  </si>
  <si>
    <t>杨长红</t>
  </si>
  <si>
    <t>13613092599</t>
  </si>
  <si>
    <t>9#604</t>
  </si>
  <si>
    <t>SS-09-605</t>
  </si>
  <si>
    <t>蒋洋和</t>
  </si>
  <si>
    <t>18718791636</t>
  </si>
  <si>
    <t>9#605</t>
  </si>
  <si>
    <t>SS-09-606</t>
  </si>
  <si>
    <t>9#606</t>
  </si>
  <si>
    <t>SS-09-607</t>
  </si>
  <si>
    <t>9#607</t>
  </si>
  <si>
    <t>SS-09-608</t>
  </si>
  <si>
    <t>9#608</t>
  </si>
  <si>
    <t>SS-09-609</t>
  </si>
  <si>
    <t>9#609</t>
  </si>
  <si>
    <t>SS-09-610</t>
  </si>
  <si>
    <t>9#610</t>
  </si>
  <si>
    <t>10#宿舍</t>
  </si>
  <si>
    <t>SS-10-101</t>
  </si>
  <si>
    <t>雷海燕</t>
  </si>
  <si>
    <t>15919700993</t>
  </si>
  <si>
    <t>10#101</t>
  </si>
  <si>
    <t>SS-10-102</t>
  </si>
  <si>
    <t>10#102</t>
  </si>
  <si>
    <t>SS-10-103</t>
  </si>
  <si>
    <t>10#103</t>
  </si>
  <si>
    <t>SS-10-104</t>
  </si>
  <si>
    <t>10#104</t>
  </si>
  <si>
    <t>SS-10-105</t>
  </si>
  <si>
    <t>10#105</t>
  </si>
  <si>
    <t>SS-10-106</t>
  </si>
  <si>
    <t>10#106</t>
  </si>
  <si>
    <t>SS-10-107</t>
  </si>
  <si>
    <t>10#107</t>
  </si>
  <si>
    <t>SS-10-108</t>
  </si>
  <si>
    <t>10#108</t>
  </si>
  <si>
    <t>SS-10-109</t>
  </si>
  <si>
    <t>朱方敏</t>
  </si>
  <si>
    <t>13510507227</t>
  </si>
  <si>
    <t>10#109</t>
  </si>
  <si>
    <t>SS-10-110</t>
  </si>
  <si>
    <t>10#110</t>
  </si>
  <si>
    <t>SS-10-111</t>
  </si>
  <si>
    <t>深圳市三水升达电梯有限公司</t>
  </si>
  <si>
    <t>江兴</t>
  </si>
  <si>
    <t>13418523018</t>
  </si>
  <si>
    <t>10#111</t>
  </si>
  <si>
    <t>SS-10-112</t>
  </si>
  <si>
    <t>10#112</t>
  </si>
  <si>
    <t>SS-10-201</t>
  </si>
  <si>
    <t>10#201</t>
  </si>
  <si>
    <t>SS-10-202</t>
  </si>
  <si>
    <t>10#202</t>
  </si>
  <si>
    <t>SS-10-203</t>
  </si>
  <si>
    <t>10#203</t>
  </si>
  <si>
    <t>SS-10-204</t>
  </si>
  <si>
    <t>10#204</t>
  </si>
  <si>
    <t>SS-10-205</t>
  </si>
  <si>
    <t>10#205</t>
  </si>
  <si>
    <t>SS-10-206</t>
  </si>
  <si>
    <t>10#206</t>
  </si>
  <si>
    <t>SS-10-207</t>
  </si>
  <si>
    <t>10#207</t>
  </si>
  <si>
    <t>SS-10-208</t>
  </si>
  <si>
    <t>10#208</t>
  </si>
  <si>
    <t>SS-10-209</t>
  </si>
  <si>
    <t>10#209</t>
  </si>
  <si>
    <t>SS-10-210</t>
  </si>
  <si>
    <t>10#210</t>
  </si>
  <si>
    <t>SS-10-211</t>
  </si>
  <si>
    <t>10#211</t>
  </si>
  <si>
    <t>SS-10-212</t>
  </si>
  <si>
    <t>黄向前</t>
  </si>
  <si>
    <t>13424184333</t>
  </si>
  <si>
    <t>10#212</t>
  </si>
  <si>
    <t>SS-10-301</t>
  </si>
  <si>
    <t>朱凤森</t>
  </si>
  <si>
    <t>15999660816</t>
  </si>
  <si>
    <t>10#301</t>
  </si>
  <si>
    <t>SS-10-302</t>
  </si>
  <si>
    <t>10#302</t>
  </si>
  <si>
    <t>SS-10-303</t>
  </si>
  <si>
    <t>10#303</t>
  </si>
  <si>
    <t>SS-10-304</t>
  </si>
  <si>
    <t>李留</t>
  </si>
  <si>
    <t>13602597630</t>
  </si>
  <si>
    <t>10#304</t>
  </si>
  <si>
    <t>SS-10-305</t>
  </si>
  <si>
    <t>公培设</t>
  </si>
  <si>
    <t>13828819572</t>
  </si>
  <si>
    <t>10#305</t>
  </si>
  <si>
    <t>SS-10-306</t>
  </si>
  <si>
    <t>10#306</t>
  </si>
  <si>
    <t>SS-10-307</t>
  </si>
  <si>
    <t>10#307</t>
  </si>
  <si>
    <t>刘金娟</t>
  </si>
  <si>
    <t>13923890348</t>
  </si>
  <si>
    <t>SS-10-308</t>
  </si>
  <si>
    <t>10#308</t>
  </si>
  <si>
    <t>2018-09-01--2019-05-31</t>
  </si>
  <si>
    <t>SS-10-309</t>
  </si>
  <si>
    <t>候小明</t>
  </si>
  <si>
    <t>13510728006</t>
  </si>
  <si>
    <t>10#309</t>
  </si>
  <si>
    <t>SS-10-310</t>
  </si>
  <si>
    <t>曾亚林</t>
  </si>
  <si>
    <t>13530028460</t>
  </si>
  <si>
    <t>10#310</t>
  </si>
  <si>
    <t>SS-10-311</t>
  </si>
  <si>
    <t>罗情英</t>
  </si>
  <si>
    <t>13714760979</t>
  </si>
  <si>
    <t>10#311</t>
  </si>
  <si>
    <t>SS-10-312</t>
  </si>
  <si>
    <t>马黎黎</t>
  </si>
  <si>
    <t>13480955576</t>
  </si>
  <si>
    <t>10#312</t>
  </si>
  <si>
    <t>SS-10-4F</t>
  </si>
  <si>
    <t>10#4F</t>
  </si>
  <si>
    <t>SS-10-5F</t>
  </si>
  <si>
    <t>10#5F</t>
  </si>
  <si>
    <t>SS-10-6F</t>
  </si>
  <si>
    <t>10#6F</t>
  </si>
  <si>
    <t>11#宿舍</t>
  </si>
  <si>
    <t>SS-11-1F</t>
  </si>
  <si>
    <t>11#1F</t>
  </si>
  <si>
    <t>2017-01-01--2019-07-15</t>
  </si>
  <si>
    <t>2017-01-01</t>
  </si>
  <si>
    <t>SS-11-2F</t>
  </si>
  <si>
    <t>11#2F</t>
  </si>
  <si>
    <t>SS-11-3F</t>
  </si>
  <si>
    <t>11#3F</t>
  </si>
  <si>
    <t>SS-11-4F</t>
  </si>
  <si>
    <t>11#4F</t>
  </si>
  <si>
    <t>SS-11-5F</t>
  </si>
  <si>
    <t>11#5F</t>
  </si>
  <si>
    <t>SS-11-6F</t>
  </si>
  <si>
    <t>11#6F</t>
  </si>
  <si>
    <t>F层</t>
  </si>
  <si>
    <t>SS-11-F201</t>
  </si>
  <si>
    <t>钟子明</t>
  </si>
  <si>
    <t>13714513802</t>
  </si>
  <si>
    <t>11#F201</t>
  </si>
  <si>
    <t>SS-11-F202</t>
  </si>
  <si>
    <t>张才金</t>
  </si>
  <si>
    <t>13417576382</t>
  </si>
  <si>
    <t>11#F202</t>
  </si>
  <si>
    <t>SS-11-F203</t>
  </si>
  <si>
    <t>张道玲</t>
  </si>
  <si>
    <t>13802221252</t>
  </si>
  <si>
    <t>11#F203</t>
  </si>
  <si>
    <t>SS-11-F204</t>
  </si>
  <si>
    <t>王小桃</t>
  </si>
  <si>
    <t>18576615929</t>
  </si>
  <si>
    <t>11#F204</t>
  </si>
  <si>
    <t>SS-11-F301</t>
  </si>
  <si>
    <t>深圳市龙岗区南湾吉达玩具加工厂</t>
  </si>
  <si>
    <t>11#F301</t>
  </si>
  <si>
    <t>SS-11-F302</t>
  </si>
  <si>
    <t>邓杰</t>
  </si>
  <si>
    <t>13417366599</t>
  </si>
  <si>
    <t>11#F302</t>
  </si>
  <si>
    <t>SS-11-F303</t>
  </si>
  <si>
    <t>刘文辉</t>
  </si>
  <si>
    <t>18676773377</t>
  </si>
  <si>
    <t>11#F303</t>
  </si>
  <si>
    <t>SS-11-F304</t>
  </si>
  <si>
    <t>游梅兰</t>
  </si>
  <si>
    <t>18682368793</t>
  </si>
  <si>
    <t>11#F304</t>
  </si>
  <si>
    <t>SS-11-F401</t>
  </si>
  <si>
    <t>11#F401</t>
  </si>
  <si>
    <t>SS-11-F402</t>
  </si>
  <si>
    <t>11#F402</t>
  </si>
  <si>
    <t>2019-02-01--2019-05-31</t>
  </si>
  <si>
    <t>SS-11-F403</t>
  </si>
  <si>
    <t>11#F403</t>
  </si>
  <si>
    <t>SS-11-F404</t>
  </si>
  <si>
    <t>陈少坛</t>
  </si>
  <si>
    <t>13760385890</t>
  </si>
  <si>
    <t>11#F404</t>
  </si>
  <si>
    <t>SS-11-F501</t>
  </si>
  <si>
    <t>夏海波</t>
  </si>
  <si>
    <t>13480684690</t>
  </si>
  <si>
    <t>11#F501</t>
  </si>
  <si>
    <t>SS-11-F502</t>
  </si>
  <si>
    <t>11#F502</t>
  </si>
  <si>
    <t>SS-11-F503</t>
  </si>
  <si>
    <t>11#F503</t>
  </si>
  <si>
    <t>SS-11-F504</t>
  </si>
  <si>
    <t>11#F504</t>
  </si>
  <si>
    <t>SS-11-F601</t>
  </si>
  <si>
    <t>赵远见</t>
  </si>
  <si>
    <t>13058009583</t>
  </si>
  <si>
    <t>11#F601</t>
  </si>
  <si>
    <t>SS-11-F602</t>
  </si>
  <si>
    <t>11#F602</t>
  </si>
  <si>
    <t>SS-11-F603</t>
  </si>
  <si>
    <t>11#F603</t>
  </si>
  <si>
    <t>SS-11-F604</t>
  </si>
  <si>
    <t>张巧维</t>
  </si>
  <si>
    <t>15991699120</t>
  </si>
  <si>
    <t>11#F604</t>
  </si>
  <si>
    <t>2018-08-21--2019-08-31</t>
  </si>
  <si>
    <t>2018-08-21</t>
  </si>
  <si>
    <t>12#宿舍</t>
  </si>
  <si>
    <t>SS-12-101</t>
  </si>
  <si>
    <t>12#101</t>
  </si>
  <si>
    <t>SS-12-102</t>
  </si>
  <si>
    <t>12#102</t>
  </si>
  <si>
    <t>SS-12-103</t>
  </si>
  <si>
    <t>12#103</t>
  </si>
  <si>
    <t>SS-12-104</t>
  </si>
  <si>
    <t>石玉婷</t>
  </si>
  <si>
    <t>13715346984</t>
  </si>
  <si>
    <t>12#104</t>
  </si>
  <si>
    <t>SS-12-105</t>
  </si>
  <si>
    <t>陈静</t>
  </si>
  <si>
    <t>15817497166</t>
  </si>
  <si>
    <t>12#105</t>
  </si>
  <si>
    <t>SS-12-106</t>
  </si>
  <si>
    <t>刘军锋</t>
  </si>
  <si>
    <t>17503005407</t>
  </si>
  <si>
    <t>12#106</t>
  </si>
  <si>
    <t>SS-12-107</t>
  </si>
  <si>
    <t>皮中余</t>
  </si>
  <si>
    <t>12#107</t>
  </si>
  <si>
    <t>SS-12-108</t>
  </si>
  <si>
    <t>王亮</t>
  </si>
  <si>
    <t>18503090734</t>
  </si>
  <si>
    <t>12#108</t>
  </si>
  <si>
    <t>SS-12-109</t>
  </si>
  <si>
    <t>张军</t>
  </si>
  <si>
    <t>18316876078</t>
  </si>
  <si>
    <t>12#109</t>
  </si>
  <si>
    <t>SS-12-110</t>
  </si>
  <si>
    <t>蔡明良</t>
  </si>
  <si>
    <t>13723414513</t>
  </si>
  <si>
    <t>12#110</t>
  </si>
  <si>
    <t>SS-12-111</t>
  </si>
  <si>
    <t>12#111</t>
  </si>
  <si>
    <t>雷凤思</t>
  </si>
  <si>
    <t>18129811251</t>
  </si>
  <si>
    <t>SS-12-112</t>
  </si>
  <si>
    <t>黄振辉</t>
  </si>
  <si>
    <t>13713901393</t>
  </si>
  <si>
    <t>12#112</t>
  </si>
  <si>
    <t>SS-12-201</t>
  </si>
  <si>
    <t>陈舒娜</t>
  </si>
  <si>
    <t>13713747695</t>
  </si>
  <si>
    <t>12#201</t>
  </si>
  <si>
    <t>SS-12-202</t>
  </si>
  <si>
    <t>12#202</t>
  </si>
  <si>
    <t>SS-12-203</t>
  </si>
  <si>
    <t>邓小勇</t>
  </si>
  <si>
    <t>18665319037</t>
  </si>
  <si>
    <t>12#203</t>
  </si>
  <si>
    <t>SS-12-204</t>
  </si>
  <si>
    <t>陈锋</t>
  </si>
  <si>
    <t>13662656390</t>
  </si>
  <si>
    <t>12#204</t>
  </si>
  <si>
    <t>SS-12-205</t>
  </si>
  <si>
    <t>12#205</t>
  </si>
  <si>
    <t>SS-12-206</t>
  </si>
  <si>
    <t>12#206</t>
  </si>
  <si>
    <t>SS-12-207</t>
  </si>
  <si>
    <t>李天霞</t>
  </si>
  <si>
    <t>13510116450</t>
  </si>
  <si>
    <t>12#207</t>
  </si>
  <si>
    <t>2018-03-16--2019-02-28</t>
  </si>
  <si>
    <t>2018-03-16</t>
  </si>
  <si>
    <t>SS-12-208</t>
  </si>
  <si>
    <t>12#208</t>
  </si>
  <si>
    <t>SS-12-209</t>
  </si>
  <si>
    <t>黄广渊</t>
  </si>
  <si>
    <t>18565726321</t>
  </si>
  <si>
    <t>12#209</t>
  </si>
  <si>
    <t>SS-12-210</t>
  </si>
  <si>
    <t>高艳</t>
  </si>
  <si>
    <t>13480121779</t>
  </si>
  <si>
    <t>12#210</t>
  </si>
  <si>
    <t>SS-12-211</t>
  </si>
  <si>
    <t>深圳市众邦环境工程服务有限公司</t>
  </si>
  <si>
    <t>12#211</t>
  </si>
  <si>
    <t>SS-12-212</t>
  </si>
  <si>
    <t>张靖浩</t>
  </si>
  <si>
    <t>13684948172</t>
  </si>
  <si>
    <t>12#212</t>
  </si>
  <si>
    <t>SS-12-301</t>
  </si>
  <si>
    <t>深圳市菲特进出口贸易有限公司</t>
  </si>
  <si>
    <t>段岗山</t>
  </si>
  <si>
    <t>13926522959</t>
  </si>
  <si>
    <t>12#301</t>
  </si>
  <si>
    <t>SS-12-302</t>
  </si>
  <si>
    <t>韦少平</t>
  </si>
  <si>
    <t>13554874612</t>
  </si>
  <si>
    <t>12#302</t>
  </si>
  <si>
    <t>SS-12-303</t>
  </si>
  <si>
    <t>杨成平</t>
  </si>
  <si>
    <t>15112555031</t>
  </si>
  <si>
    <t>12#303</t>
  </si>
  <si>
    <t>SS-12-304</t>
  </si>
  <si>
    <t>刘英宾</t>
  </si>
  <si>
    <t>13410873328</t>
  </si>
  <si>
    <t>12#304</t>
  </si>
  <si>
    <t>SS-12-305</t>
  </si>
  <si>
    <t>苏金凤</t>
  </si>
  <si>
    <t>18719305620</t>
  </si>
  <si>
    <t>12#305</t>
  </si>
  <si>
    <t>SS-12-306</t>
  </si>
  <si>
    <t>汪爱兰</t>
  </si>
  <si>
    <t>13682374593</t>
  </si>
  <si>
    <t>12#306</t>
  </si>
  <si>
    <t>SS-12-307</t>
  </si>
  <si>
    <t>刘昭君</t>
  </si>
  <si>
    <t>15999862912</t>
  </si>
  <si>
    <t>12#307</t>
  </si>
  <si>
    <t>SS-12-308</t>
  </si>
  <si>
    <t>徐亮</t>
  </si>
  <si>
    <t>13798221460</t>
  </si>
  <si>
    <t>12#308</t>
  </si>
  <si>
    <t>SS-12-309</t>
  </si>
  <si>
    <t>梁红霞</t>
  </si>
  <si>
    <t>13715286064</t>
  </si>
  <si>
    <t>12#309</t>
  </si>
  <si>
    <t>SS-12-310</t>
  </si>
  <si>
    <t>陈科威</t>
  </si>
  <si>
    <t>15089487807</t>
  </si>
  <si>
    <t>12#310</t>
  </si>
  <si>
    <t>SS-12-311</t>
  </si>
  <si>
    <t>罗相军</t>
  </si>
  <si>
    <t>13714700768</t>
  </si>
  <si>
    <t>12#311</t>
  </si>
  <si>
    <t>SS-12-312</t>
  </si>
  <si>
    <t>12#312</t>
  </si>
  <si>
    <t>SS-12-401</t>
  </si>
  <si>
    <t>12#401</t>
  </si>
  <si>
    <t>SS-12-402</t>
  </si>
  <si>
    <t>12#402</t>
  </si>
  <si>
    <t>SS-12-403</t>
  </si>
  <si>
    <t>12#403</t>
  </si>
  <si>
    <t>SS-12-404</t>
  </si>
  <si>
    <t>12#404</t>
  </si>
  <si>
    <t>SS-12-405</t>
  </si>
  <si>
    <t>12#405</t>
  </si>
  <si>
    <t>SS-12-406</t>
  </si>
  <si>
    <t>12#406</t>
  </si>
  <si>
    <t>SS-12-407</t>
  </si>
  <si>
    <t>文良</t>
  </si>
  <si>
    <t>文 良</t>
  </si>
  <si>
    <t>13928485543</t>
  </si>
  <si>
    <t>12#407</t>
  </si>
  <si>
    <t>SS-12-408</t>
  </si>
  <si>
    <t>丁雪梅</t>
  </si>
  <si>
    <t>13602535129</t>
  </si>
  <si>
    <t>12#408</t>
  </si>
  <si>
    <t>SS-12-409</t>
  </si>
  <si>
    <t>12#409</t>
  </si>
  <si>
    <t>SS-12-410</t>
  </si>
  <si>
    <t>12#410</t>
  </si>
  <si>
    <t>SS-12-411</t>
  </si>
  <si>
    <t>周涛</t>
  </si>
  <si>
    <t>13530818281</t>
  </si>
  <si>
    <t>12#411</t>
  </si>
  <si>
    <t>SS-12-412</t>
  </si>
  <si>
    <t>朱东田</t>
  </si>
  <si>
    <t>13728705856</t>
  </si>
  <si>
    <t>12#412</t>
  </si>
  <si>
    <t>SS-12-501</t>
  </si>
  <si>
    <t>杨康</t>
  </si>
  <si>
    <t>13427908817</t>
  </si>
  <si>
    <t>12#501</t>
  </si>
  <si>
    <t>SS-12-502</t>
  </si>
  <si>
    <t>蒋波</t>
  </si>
  <si>
    <t>12#502</t>
  </si>
  <si>
    <t>张甫琼</t>
  </si>
  <si>
    <t>13530181053</t>
  </si>
  <si>
    <t>SS-12-503</t>
  </si>
  <si>
    <t>牛红梅</t>
  </si>
  <si>
    <t>13724334938</t>
  </si>
  <si>
    <t>12#503</t>
  </si>
  <si>
    <t>甘平鑫</t>
  </si>
  <si>
    <t>18613185409</t>
  </si>
  <si>
    <t>SS-12-504</t>
  </si>
  <si>
    <t>12#504</t>
  </si>
  <si>
    <t>SS-12-505</t>
  </si>
  <si>
    <t>黄立校</t>
  </si>
  <si>
    <t>13699784953</t>
  </si>
  <si>
    <t>12#505</t>
  </si>
  <si>
    <t>SS-12-506</t>
  </si>
  <si>
    <t>温家强</t>
  </si>
  <si>
    <t>15012820801</t>
  </si>
  <si>
    <t>12#506</t>
  </si>
  <si>
    <t>SS-12-507</t>
  </si>
  <si>
    <t>吴曜成</t>
  </si>
  <si>
    <t>13530510983</t>
  </si>
  <si>
    <t>12#507</t>
  </si>
  <si>
    <t>SS-12-508</t>
  </si>
  <si>
    <t>付丽秀</t>
  </si>
  <si>
    <t>14774885508</t>
  </si>
  <si>
    <t>12#508</t>
  </si>
  <si>
    <t>2018-12-16--2019-12-31</t>
  </si>
  <si>
    <t>2018-12-16</t>
  </si>
  <si>
    <t>SS-12-509</t>
  </si>
  <si>
    <t>孙天伟</t>
  </si>
  <si>
    <t>13826028199</t>
  </si>
  <si>
    <t>12#509</t>
  </si>
  <si>
    <t>周彬</t>
  </si>
  <si>
    <t>13652363645</t>
  </si>
  <si>
    <t>SS-12-510</t>
  </si>
  <si>
    <t>江正高</t>
  </si>
  <si>
    <t>13612908041</t>
  </si>
  <si>
    <t>12#510</t>
  </si>
  <si>
    <t>SS-12-511</t>
  </si>
  <si>
    <t>曾小群</t>
  </si>
  <si>
    <t>13620937763</t>
  </si>
  <si>
    <t>12#511</t>
  </si>
  <si>
    <t>SS-12-512</t>
  </si>
  <si>
    <t>邓军英</t>
  </si>
  <si>
    <t>13715176947</t>
  </si>
  <si>
    <t>12#512</t>
  </si>
  <si>
    <t>SS-12-601</t>
  </si>
  <si>
    <t>12#601</t>
  </si>
  <si>
    <t>SS-12-602</t>
  </si>
  <si>
    <t>12#602</t>
  </si>
  <si>
    <t>SS-12-603</t>
  </si>
  <si>
    <t>刘镜雄</t>
  </si>
  <si>
    <t>15989396739</t>
  </si>
  <si>
    <t>12#603</t>
  </si>
  <si>
    <t>SS-12-604</t>
  </si>
  <si>
    <t>郭建华</t>
  </si>
  <si>
    <t>15889493887</t>
  </si>
  <si>
    <t>12#604</t>
  </si>
  <si>
    <t>孙明</t>
  </si>
  <si>
    <t>13410751819</t>
  </si>
  <si>
    <t>SS-12-605</t>
  </si>
  <si>
    <t>12#605</t>
  </si>
  <si>
    <t>SS-12-606</t>
  </si>
  <si>
    <t>孙艳艳</t>
  </si>
  <si>
    <t>18098930496</t>
  </si>
  <si>
    <t>12#606</t>
  </si>
  <si>
    <t>SS-12-607</t>
  </si>
  <si>
    <t>毛文杰</t>
  </si>
  <si>
    <t>18312492180</t>
  </si>
  <si>
    <t>12#607</t>
  </si>
  <si>
    <t>SS-12-608</t>
  </si>
  <si>
    <t>马磊</t>
  </si>
  <si>
    <t>13684911587</t>
  </si>
  <si>
    <t>12#608</t>
  </si>
  <si>
    <t>SS-12-609</t>
  </si>
  <si>
    <t>曾小梅</t>
  </si>
  <si>
    <t>17779024875</t>
  </si>
  <si>
    <t>12#609</t>
  </si>
  <si>
    <t>SS-12-610</t>
  </si>
  <si>
    <t>12#610</t>
  </si>
  <si>
    <t>SS-12-611</t>
  </si>
  <si>
    <t>张永</t>
  </si>
  <si>
    <t>15976858505</t>
  </si>
  <si>
    <t>12#611</t>
  </si>
  <si>
    <t>SS-12-612</t>
  </si>
  <si>
    <t>田雪峰</t>
  </si>
  <si>
    <t>18566242243</t>
  </si>
  <si>
    <t>12#612</t>
  </si>
  <si>
    <t>13#宿舍</t>
  </si>
  <si>
    <t>SS-13-01LTJ</t>
  </si>
  <si>
    <t>谢磊</t>
  </si>
  <si>
    <t>18165758610</t>
  </si>
  <si>
    <t>13#01楼梯间</t>
  </si>
  <si>
    <t>SS-13-101</t>
  </si>
  <si>
    <t>曾国清</t>
  </si>
  <si>
    <t>13530250084</t>
  </si>
  <si>
    <t>13#101</t>
  </si>
  <si>
    <t>SS-13-102</t>
  </si>
  <si>
    <t>深圳市峰湖中式餐饮有限公司</t>
  </si>
  <si>
    <t>刘水养</t>
  </si>
  <si>
    <t>13113026122</t>
  </si>
  <si>
    <t>13#102</t>
  </si>
  <si>
    <t>SS-13-103</t>
  </si>
  <si>
    <t>张兆乾</t>
  </si>
  <si>
    <t>13#103</t>
  </si>
  <si>
    <t>SS-13-104</t>
  </si>
  <si>
    <t>黄明安</t>
  </si>
  <si>
    <t>13570821480</t>
  </si>
  <si>
    <t>13#104</t>
  </si>
  <si>
    <t>SS-13-105</t>
  </si>
  <si>
    <t>13#105</t>
  </si>
  <si>
    <t>2018-09-06--2019-03-31</t>
  </si>
  <si>
    <t>2018-09-06</t>
  </si>
  <si>
    <t>SS-13-106</t>
  </si>
  <si>
    <t>翟俊</t>
  </si>
  <si>
    <t>15919712350</t>
  </si>
  <si>
    <t>13#106</t>
  </si>
  <si>
    <t>SS-13-107</t>
  </si>
  <si>
    <t>瓮建新</t>
  </si>
  <si>
    <t>13717038289</t>
  </si>
  <si>
    <t>13#107</t>
  </si>
  <si>
    <t>SS-13-108</t>
  </si>
  <si>
    <t>13#108</t>
  </si>
  <si>
    <t>SS-13-109</t>
  </si>
  <si>
    <t>13#109</t>
  </si>
  <si>
    <t>SS-13-110</t>
  </si>
  <si>
    <t>深圳市淳悦酒业有限公司</t>
  </si>
  <si>
    <t>13#110</t>
  </si>
  <si>
    <t>SS-13-111</t>
  </si>
  <si>
    <t>余得水</t>
  </si>
  <si>
    <t>13534087913</t>
  </si>
  <si>
    <t>13#111</t>
  </si>
  <si>
    <t>SS-13-112</t>
  </si>
  <si>
    <t>农金冠</t>
  </si>
  <si>
    <t>13534169490</t>
  </si>
  <si>
    <t>13#112</t>
  </si>
  <si>
    <t>SS-13-2F</t>
  </si>
  <si>
    <t>深圳市新旺来饮食管理服务有限公司百门前分公司</t>
  </si>
  <si>
    <t>张翠华</t>
  </si>
  <si>
    <t>13826526883</t>
  </si>
  <si>
    <t>13#2F</t>
  </si>
  <si>
    <t>SS-13-301</t>
  </si>
  <si>
    <t>13#301</t>
  </si>
  <si>
    <t>SS-13-302</t>
  </si>
  <si>
    <t>13#302</t>
  </si>
  <si>
    <t>SS-13-303</t>
  </si>
  <si>
    <t>13#303</t>
  </si>
  <si>
    <t>SS-13-304</t>
  </si>
  <si>
    <t>13#304</t>
  </si>
  <si>
    <t>SS-13-305</t>
  </si>
  <si>
    <t>13#305</t>
  </si>
  <si>
    <t>SS-13-306</t>
  </si>
  <si>
    <t>13#306</t>
  </si>
  <si>
    <t>SS-13-307</t>
  </si>
  <si>
    <t>13#307</t>
  </si>
  <si>
    <t>SS-13-308</t>
  </si>
  <si>
    <t>13#308</t>
  </si>
  <si>
    <t>SS-13-309</t>
  </si>
  <si>
    <t>13#309</t>
  </si>
  <si>
    <t>SS-13-310</t>
  </si>
  <si>
    <t>13#310</t>
  </si>
  <si>
    <t>SS-13-311</t>
  </si>
  <si>
    <t>13#311</t>
  </si>
  <si>
    <t>SS-13-312</t>
  </si>
  <si>
    <t>13#312</t>
  </si>
  <si>
    <t>SS-13-4F</t>
  </si>
  <si>
    <t>13#4F</t>
  </si>
  <si>
    <t>SS-14-101</t>
  </si>
  <si>
    <t>罗文金</t>
  </si>
  <si>
    <t>13534241769</t>
  </si>
  <si>
    <t>14#101</t>
  </si>
  <si>
    <t>SS-14-102</t>
  </si>
  <si>
    <t>14#102</t>
  </si>
  <si>
    <t>SS-14-103</t>
  </si>
  <si>
    <t>马四平</t>
  </si>
  <si>
    <t>15814603954</t>
  </si>
  <si>
    <t>14#103</t>
  </si>
  <si>
    <t>SS-14-104</t>
  </si>
  <si>
    <t>郑军禄</t>
  </si>
  <si>
    <t>18679775683</t>
  </si>
  <si>
    <t>14#104</t>
  </si>
  <si>
    <t>SS-14-105</t>
  </si>
  <si>
    <t>14#105</t>
  </si>
  <si>
    <t>SS-14-106</t>
  </si>
  <si>
    <t>14#106</t>
  </si>
  <si>
    <t>SS-14-107</t>
  </si>
  <si>
    <t>14#107</t>
  </si>
  <si>
    <t>SS-14-108</t>
  </si>
  <si>
    <t>14#108</t>
  </si>
  <si>
    <t>SS-14-109</t>
  </si>
  <si>
    <t>14#109</t>
  </si>
  <si>
    <t>SS-14-110</t>
  </si>
  <si>
    <t>林荣芳</t>
  </si>
  <si>
    <t>13510759788</t>
  </si>
  <si>
    <t>14#110</t>
  </si>
  <si>
    <t>SS-14-111</t>
  </si>
  <si>
    <t>邓显秋</t>
  </si>
  <si>
    <t>13202251819</t>
  </si>
  <si>
    <t>14#111</t>
  </si>
  <si>
    <t>SS-14-112</t>
  </si>
  <si>
    <t>雷敏</t>
  </si>
  <si>
    <t>18926790068</t>
  </si>
  <si>
    <t>14#112</t>
  </si>
  <si>
    <t>SS-14-113</t>
  </si>
  <si>
    <t>14#113</t>
  </si>
  <si>
    <t>SS-14-114</t>
  </si>
  <si>
    <t>14#114</t>
  </si>
  <si>
    <t>SS-14-115</t>
  </si>
  <si>
    <t>14#115</t>
  </si>
  <si>
    <t>SS-14-116</t>
  </si>
  <si>
    <t>14#116</t>
  </si>
  <si>
    <t>SS-14-117</t>
  </si>
  <si>
    <t>14#117</t>
  </si>
  <si>
    <t>SS-14-118</t>
  </si>
  <si>
    <t>14#118</t>
  </si>
  <si>
    <t>SS-14-201</t>
  </si>
  <si>
    <t>14#201</t>
  </si>
  <si>
    <t>SS-14-202</t>
  </si>
  <si>
    <t>14#202</t>
  </si>
  <si>
    <t>SS-14-203</t>
  </si>
  <si>
    <t>14#203</t>
  </si>
  <si>
    <t>SS-14-204</t>
  </si>
  <si>
    <t>14#204</t>
  </si>
  <si>
    <t>SS-14-205</t>
  </si>
  <si>
    <t>14#205</t>
  </si>
  <si>
    <t>SS-14-206</t>
  </si>
  <si>
    <t>14#206</t>
  </si>
  <si>
    <t>SS-14-207</t>
  </si>
  <si>
    <t>14#207</t>
  </si>
  <si>
    <t>SS-14-208</t>
  </si>
  <si>
    <t>14#208</t>
  </si>
  <si>
    <t>SS-14-209</t>
  </si>
  <si>
    <t>14#209</t>
  </si>
  <si>
    <t>SS-14-210</t>
  </si>
  <si>
    <t>14#210</t>
  </si>
  <si>
    <t>SS-14-211</t>
  </si>
  <si>
    <t>赵博文</t>
  </si>
  <si>
    <t>18520871352</t>
  </si>
  <si>
    <t>14#211</t>
  </si>
  <si>
    <t>SS-14-212</t>
  </si>
  <si>
    <t>颜昌和</t>
  </si>
  <si>
    <t>13556851228</t>
  </si>
  <si>
    <t>14#212</t>
  </si>
  <si>
    <t>SS-14-213</t>
  </si>
  <si>
    <t>梁峻清</t>
  </si>
  <si>
    <t>18219160236</t>
  </si>
  <si>
    <t>14#213</t>
  </si>
  <si>
    <t>2018-10-16--2019-09-30</t>
  </si>
  <si>
    <t>2018-10-16</t>
  </si>
  <si>
    <t>SS-14-214</t>
  </si>
  <si>
    <t>龙祥华</t>
  </si>
  <si>
    <t>15875595761</t>
  </si>
  <si>
    <t>14#214</t>
  </si>
  <si>
    <t>SS-14-215</t>
  </si>
  <si>
    <t>马红英</t>
  </si>
  <si>
    <t>13612867374</t>
  </si>
  <si>
    <t>14#215</t>
  </si>
  <si>
    <t>SS-14-216</t>
  </si>
  <si>
    <t>14#216</t>
  </si>
  <si>
    <t>SS-14-217</t>
  </si>
  <si>
    <t>14#217</t>
  </si>
  <si>
    <t>SS-14-218</t>
  </si>
  <si>
    <t>李显林</t>
  </si>
  <si>
    <t>13510946189</t>
  </si>
  <si>
    <t>14#218</t>
  </si>
  <si>
    <t>SS-14-311</t>
  </si>
  <si>
    <t>14#311</t>
  </si>
  <si>
    <t>SS-14-312</t>
  </si>
  <si>
    <t>14#312</t>
  </si>
  <si>
    <t>SS-14-313</t>
  </si>
  <si>
    <t>14#313</t>
  </si>
  <si>
    <t>SS-14-314</t>
  </si>
  <si>
    <t>14#314</t>
  </si>
  <si>
    <t>SS-14-315</t>
  </si>
  <si>
    <t>刘建昌</t>
  </si>
  <si>
    <t>13713748693</t>
  </si>
  <si>
    <t>14#315</t>
  </si>
  <si>
    <t>SS-14-316</t>
  </si>
  <si>
    <t>钟扬秀</t>
  </si>
  <si>
    <t>13265850492</t>
  </si>
  <si>
    <t>14#316</t>
  </si>
  <si>
    <t>SS-14-317</t>
  </si>
  <si>
    <t>14#317</t>
  </si>
  <si>
    <t>SS-14-318</t>
  </si>
  <si>
    <t>余素芬</t>
  </si>
  <si>
    <t>13423736885</t>
  </si>
  <si>
    <t>14#318</t>
  </si>
  <si>
    <t>SS-14-414</t>
  </si>
  <si>
    <t>14#414</t>
  </si>
  <si>
    <t>SS-14-415</t>
  </si>
  <si>
    <t>14#415</t>
  </si>
  <si>
    <t>SS-14-416</t>
  </si>
  <si>
    <t>14#416</t>
  </si>
  <si>
    <t>SS-14-417</t>
  </si>
  <si>
    <t>14#417</t>
  </si>
  <si>
    <t>SS-14-418</t>
  </si>
  <si>
    <t>14#418</t>
  </si>
  <si>
    <t>SS-14-601-613</t>
  </si>
  <si>
    <t>14#601-613</t>
  </si>
  <si>
    <t>SS-14-614</t>
  </si>
  <si>
    <t>14#614</t>
  </si>
  <si>
    <t>SS-14-615</t>
  </si>
  <si>
    <t>王君</t>
  </si>
  <si>
    <t>13823227216</t>
  </si>
  <si>
    <t>14#615</t>
  </si>
  <si>
    <t>2018-11-16--2019-10-31</t>
  </si>
  <si>
    <t>SS-14-616</t>
  </si>
  <si>
    <t>14#616</t>
  </si>
  <si>
    <t>2017-03-01--2019-02-28</t>
  </si>
  <si>
    <t>2017-03-01</t>
  </si>
  <si>
    <t>SS-14-617</t>
  </si>
  <si>
    <t>14#617</t>
  </si>
  <si>
    <t>SS-14-618</t>
  </si>
  <si>
    <t>14#618</t>
  </si>
  <si>
    <t>SS-15</t>
  </si>
  <si>
    <t>15#ZD</t>
  </si>
  <si>
    <t>SS-16-1F</t>
  </si>
  <si>
    <t>中建三局第一建设工程有限责任公司</t>
  </si>
  <si>
    <t>李承芝</t>
  </si>
  <si>
    <t>13530077732</t>
  </si>
  <si>
    <t>16#1F</t>
  </si>
  <si>
    <t>SS-16-2F</t>
  </si>
  <si>
    <t>16#2F</t>
  </si>
  <si>
    <t>SS-16-3F</t>
  </si>
  <si>
    <t>16#3F</t>
  </si>
  <si>
    <t>SS-16-4F</t>
  </si>
  <si>
    <t>16#4F</t>
  </si>
  <si>
    <t>SS-16-501</t>
  </si>
  <si>
    <t>廖灿思</t>
  </si>
  <si>
    <t>13555695612</t>
  </si>
  <si>
    <t>16#501</t>
  </si>
  <si>
    <t>SS-16-502</t>
  </si>
  <si>
    <t>16#502</t>
  </si>
  <si>
    <t>SS-16-503</t>
  </si>
  <si>
    <t>李刚</t>
  </si>
  <si>
    <t>13688833763</t>
  </si>
  <si>
    <t>16#503</t>
  </si>
  <si>
    <t>SS-16-504</t>
  </si>
  <si>
    <t>杜涛涛</t>
  </si>
  <si>
    <t>13692279372</t>
  </si>
  <si>
    <t>16#504</t>
  </si>
  <si>
    <t>SS-16-505</t>
  </si>
  <si>
    <t>高春</t>
  </si>
  <si>
    <t>18098909930</t>
  </si>
  <si>
    <t>16#505</t>
  </si>
  <si>
    <t>SS-16-506</t>
  </si>
  <si>
    <t>16#506</t>
  </si>
  <si>
    <t>SS-16-507</t>
  </si>
  <si>
    <t>孙希洋</t>
  </si>
  <si>
    <t>15919874588</t>
  </si>
  <si>
    <t>16#507</t>
  </si>
  <si>
    <t>SS-16-508</t>
  </si>
  <si>
    <t>16#508</t>
  </si>
  <si>
    <t>SS-16-509</t>
  </si>
  <si>
    <t>16#509</t>
  </si>
  <si>
    <t>SS-16-510</t>
  </si>
  <si>
    <t>16#510</t>
  </si>
  <si>
    <t>SS-16-511</t>
  </si>
  <si>
    <t>马中胜</t>
  </si>
  <si>
    <t>13632610519</t>
  </si>
  <si>
    <t>16#511</t>
  </si>
  <si>
    <t>SS-16-512</t>
  </si>
  <si>
    <t>李战利</t>
  </si>
  <si>
    <t>13922835386</t>
  </si>
  <si>
    <t>16#512</t>
  </si>
  <si>
    <t>SS-16-513</t>
  </si>
  <si>
    <t>16#513</t>
  </si>
  <si>
    <t>SS-16-601</t>
  </si>
  <si>
    <t>邹小龙</t>
  </si>
  <si>
    <t>18129925773</t>
  </si>
  <si>
    <t>16#601</t>
  </si>
  <si>
    <t>SS-16-602</t>
  </si>
  <si>
    <t>唐翠兰</t>
  </si>
  <si>
    <t>13316551261</t>
  </si>
  <si>
    <t>16#602</t>
  </si>
  <si>
    <t>SS-16-603</t>
  </si>
  <si>
    <t>李宁宁</t>
  </si>
  <si>
    <t>13924625651</t>
  </si>
  <si>
    <t>16#603</t>
  </si>
  <si>
    <t>SS-16-604</t>
  </si>
  <si>
    <t>罗梅梅</t>
  </si>
  <si>
    <t>13715083957</t>
  </si>
  <si>
    <t>16#604</t>
  </si>
  <si>
    <t>2019-01-16--2020-01-31</t>
  </si>
  <si>
    <t>SS-16-605</t>
  </si>
  <si>
    <t>16#605</t>
  </si>
  <si>
    <t>SS-16-606</t>
  </si>
  <si>
    <t>16#606</t>
  </si>
  <si>
    <t>SS-16-607</t>
  </si>
  <si>
    <t>李裕初</t>
  </si>
  <si>
    <t>13423948599</t>
  </si>
  <si>
    <t>16#607</t>
  </si>
  <si>
    <t>SS-16-608</t>
  </si>
  <si>
    <t>温教化</t>
  </si>
  <si>
    <t>13682417601</t>
  </si>
  <si>
    <t>16#608</t>
  </si>
  <si>
    <t>SS-16-609</t>
  </si>
  <si>
    <t>郑月丽</t>
  </si>
  <si>
    <t>13556876753</t>
  </si>
  <si>
    <t>16#609</t>
  </si>
  <si>
    <t>SS-16-610</t>
  </si>
  <si>
    <t>16#610</t>
  </si>
  <si>
    <t>SS-16-611</t>
  </si>
  <si>
    <t>郭安奎</t>
  </si>
  <si>
    <t>15323715788</t>
  </si>
  <si>
    <t>16#611</t>
  </si>
  <si>
    <t>SS-16-612</t>
  </si>
  <si>
    <t>16#612</t>
  </si>
  <si>
    <t>SS-16-613</t>
  </si>
  <si>
    <t>曹俊友</t>
  </si>
  <si>
    <t>13410962379</t>
  </si>
  <si>
    <t>16#613</t>
  </si>
  <si>
    <t>SS-16-701</t>
  </si>
  <si>
    <t>16#701</t>
  </si>
  <si>
    <t>SS-16-702</t>
  </si>
  <si>
    <t>黄纯玲</t>
  </si>
  <si>
    <t>15986815563</t>
  </si>
  <si>
    <t>16#702</t>
  </si>
  <si>
    <t>SS-16-703</t>
  </si>
  <si>
    <t>张美勤</t>
  </si>
  <si>
    <t>13823720804</t>
  </si>
  <si>
    <t>16#703</t>
  </si>
  <si>
    <t>SS-16-704</t>
  </si>
  <si>
    <t>姬爱枝</t>
  </si>
  <si>
    <t>15818745862</t>
  </si>
  <si>
    <t>16#704</t>
  </si>
  <si>
    <t>SS-16-705</t>
  </si>
  <si>
    <t>万廷刚</t>
  </si>
  <si>
    <t>13534275406</t>
  </si>
  <si>
    <t>16#705</t>
  </si>
  <si>
    <t>2018-08-01--2019-07-30</t>
  </si>
  <si>
    <t>SS-16-706</t>
  </si>
  <si>
    <t>常守平</t>
  </si>
  <si>
    <t>18825261108</t>
  </si>
  <si>
    <t>16#706</t>
  </si>
  <si>
    <t>代丽珍</t>
  </si>
  <si>
    <t>13636159927</t>
  </si>
  <si>
    <t>SS-16-707</t>
  </si>
  <si>
    <t>16#707</t>
  </si>
  <si>
    <t>SS-16-708</t>
  </si>
  <si>
    <t>16#708</t>
  </si>
  <si>
    <t>2018-05-16--2019-05-31</t>
  </si>
  <si>
    <t>SS-16-709</t>
  </si>
  <si>
    <t>张木兰</t>
  </si>
  <si>
    <t>13828801307</t>
  </si>
  <si>
    <t>16#709</t>
  </si>
  <si>
    <t>SS-16-710</t>
  </si>
  <si>
    <t>16#710</t>
  </si>
  <si>
    <t>SS-16-711</t>
  </si>
  <si>
    <t>16#711</t>
  </si>
  <si>
    <t>SS-16-712</t>
  </si>
  <si>
    <t>16#712</t>
  </si>
  <si>
    <t>SS-16-713</t>
  </si>
  <si>
    <t>16#713</t>
  </si>
  <si>
    <t>1#住宅1单元</t>
  </si>
  <si>
    <t>SS-1Z-1-101</t>
  </si>
  <si>
    <t>黄彩凤</t>
  </si>
  <si>
    <t>13502812848</t>
  </si>
  <si>
    <t>1#住宅1-101</t>
  </si>
  <si>
    <t>SS-1Z-1-102</t>
  </si>
  <si>
    <t>苏美</t>
  </si>
  <si>
    <t>13424309051</t>
  </si>
  <si>
    <t>1#住宅1-102</t>
  </si>
  <si>
    <t>SS-1Z-1-201</t>
  </si>
  <si>
    <t>任清连</t>
  </si>
  <si>
    <t>18312341918</t>
  </si>
  <si>
    <t>1#住宅1-201</t>
  </si>
  <si>
    <t>SS-1Z-1-202</t>
  </si>
  <si>
    <t>1#住宅1-202</t>
  </si>
  <si>
    <t>SS-1Z-1-301</t>
  </si>
  <si>
    <t>聂华</t>
  </si>
  <si>
    <t>15302740369</t>
  </si>
  <si>
    <t>1#住宅1-301</t>
  </si>
  <si>
    <t>SS-1Z-1-302</t>
  </si>
  <si>
    <t>陆汉军</t>
  </si>
  <si>
    <t>13510453336</t>
  </si>
  <si>
    <t>1#住宅1-302</t>
  </si>
  <si>
    <t>SS-1Z-1-401</t>
  </si>
  <si>
    <t>1#住宅1-401</t>
  </si>
  <si>
    <t>SS-1Z-1-402</t>
  </si>
  <si>
    <t>1#住宅1-402</t>
  </si>
  <si>
    <t>2018-11-11--2019-10-31</t>
  </si>
  <si>
    <t>2018-11-11</t>
  </si>
  <si>
    <t>SS-1Z-1-501</t>
  </si>
  <si>
    <t>余里秀</t>
  </si>
  <si>
    <t>13430786481</t>
  </si>
  <si>
    <t>1#住宅1-501</t>
  </si>
  <si>
    <t>SS-1Z-1-502</t>
  </si>
  <si>
    <t>1#住宅1-502</t>
  </si>
  <si>
    <t>SS-1Z-1-601</t>
  </si>
  <si>
    <t>1#住宅1-601</t>
  </si>
  <si>
    <t>SS-1Z-1-602</t>
  </si>
  <si>
    <t>1#住宅1-602</t>
  </si>
  <si>
    <t>1#住宅2单元</t>
  </si>
  <si>
    <t>SS-1Z-2-101</t>
  </si>
  <si>
    <t>梁先锋</t>
  </si>
  <si>
    <t>13544235852</t>
  </si>
  <si>
    <t>1#住宅2-101</t>
  </si>
  <si>
    <t>SS-1Z-2-102</t>
  </si>
  <si>
    <t>邱名前</t>
  </si>
  <si>
    <t>13922836088</t>
  </si>
  <si>
    <t>1#住宅2-102</t>
  </si>
  <si>
    <t>SS-1Z-2-201</t>
  </si>
  <si>
    <t>刘小平</t>
  </si>
  <si>
    <t>13670010499</t>
  </si>
  <si>
    <t>1#住宅2-201</t>
  </si>
  <si>
    <t>SS-1Z-2-202</t>
  </si>
  <si>
    <t>1#住宅2-202</t>
  </si>
  <si>
    <t>SS-1Z-2-301</t>
  </si>
  <si>
    <t>汪颙婷</t>
  </si>
  <si>
    <t>13715058115</t>
  </si>
  <si>
    <t>1#住宅2-301</t>
  </si>
  <si>
    <t>SS-1Z-2-302</t>
  </si>
  <si>
    <t>1#住宅2-302</t>
  </si>
  <si>
    <t>2018-04-16--2019-04-15</t>
  </si>
  <si>
    <t>2018-04-16</t>
  </si>
  <si>
    <t>SS-1Z-2-401</t>
  </si>
  <si>
    <t>深圳跃动精密微电机有限公司</t>
  </si>
  <si>
    <t>饶耀康</t>
  </si>
  <si>
    <t>13922853858</t>
  </si>
  <si>
    <t>1#住宅2-401</t>
  </si>
  <si>
    <t>SS-1Z-2-402</t>
  </si>
  <si>
    <t>腾俊</t>
  </si>
  <si>
    <t>15889672631</t>
  </si>
  <si>
    <t>1#住宅2-402</t>
  </si>
  <si>
    <t>SS-1Z-2-501</t>
  </si>
  <si>
    <t>1#住宅2-501</t>
  </si>
  <si>
    <t>SS-1Z-2-502</t>
  </si>
  <si>
    <t>1#住宅2-502</t>
  </si>
  <si>
    <t>SS-1Z-2-601</t>
  </si>
  <si>
    <t>吴金广</t>
  </si>
  <si>
    <t>13510365285</t>
  </si>
  <si>
    <t>1#住宅2-601</t>
  </si>
  <si>
    <t>SS-1Z-2-602</t>
  </si>
  <si>
    <t>1#住宅2-602</t>
  </si>
  <si>
    <t>20#宿舍</t>
  </si>
  <si>
    <t>SS-20-101</t>
  </si>
  <si>
    <t>王永奇</t>
  </si>
  <si>
    <t>15889596151</t>
  </si>
  <si>
    <t>20#101</t>
  </si>
  <si>
    <t>SS-20-102</t>
  </si>
  <si>
    <t>20#102</t>
  </si>
  <si>
    <t>SS-20-103</t>
  </si>
  <si>
    <t>20#103</t>
  </si>
  <si>
    <t>SS-20-104</t>
  </si>
  <si>
    <t>20#104</t>
  </si>
  <si>
    <t>SS-20-105</t>
  </si>
  <si>
    <t>20#105</t>
  </si>
  <si>
    <t>SS-20-106</t>
  </si>
  <si>
    <t>20#106</t>
  </si>
  <si>
    <t>SS-20-107</t>
  </si>
  <si>
    <t>20#107</t>
  </si>
  <si>
    <t>SS-20-108</t>
  </si>
  <si>
    <t>20#108</t>
  </si>
  <si>
    <t>SS-20-109</t>
  </si>
  <si>
    <t>20#109</t>
  </si>
  <si>
    <t>SS-20-110</t>
  </si>
  <si>
    <t>20#110</t>
  </si>
  <si>
    <t>SS-20-111</t>
  </si>
  <si>
    <t>20#111</t>
  </si>
  <si>
    <t>SS-20-112</t>
  </si>
  <si>
    <t>20#112</t>
  </si>
  <si>
    <t>SS-20-113</t>
  </si>
  <si>
    <t>20#113</t>
  </si>
  <si>
    <t>SS-20-114</t>
  </si>
  <si>
    <t>20#114</t>
  </si>
  <si>
    <t>SS-20-115</t>
  </si>
  <si>
    <t>20#115</t>
  </si>
  <si>
    <t>SS-20-301</t>
  </si>
  <si>
    <t>20#301</t>
  </si>
  <si>
    <t>SS-20-302</t>
  </si>
  <si>
    <t>刘宗文</t>
  </si>
  <si>
    <t>13530522125</t>
  </si>
  <si>
    <t>20#302</t>
  </si>
  <si>
    <t>SS-20-303</t>
  </si>
  <si>
    <t>20#303</t>
  </si>
  <si>
    <t>SS-20-304</t>
  </si>
  <si>
    <t>蹇兵</t>
  </si>
  <si>
    <t>15989368513</t>
  </si>
  <si>
    <t>20#304</t>
  </si>
  <si>
    <t>SS-20-305</t>
  </si>
  <si>
    <t>20#305</t>
  </si>
  <si>
    <t>SS-20-306</t>
  </si>
  <si>
    <t>向长江</t>
  </si>
  <si>
    <t>17727577596</t>
  </si>
  <si>
    <t>20#306</t>
  </si>
  <si>
    <t>SS-20-307</t>
  </si>
  <si>
    <t>高超</t>
  </si>
  <si>
    <t>高 超</t>
  </si>
  <si>
    <t>15989578705</t>
  </si>
  <si>
    <t>20#307</t>
  </si>
  <si>
    <t>SS-20-308</t>
  </si>
  <si>
    <t>20#308</t>
  </si>
  <si>
    <t>SS-20-309</t>
  </si>
  <si>
    <t>20#309</t>
  </si>
  <si>
    <t>SS-20-310</t>
  </si>
  <si>
    <t>蔡燕舞</t>
  </si>
  <si>
    <t>18675518553</t>
  </si>
  <si>
    <t>20#310</t>
  </si>
  <si>
    <t>SS-20-311</t>
  </si>
  <si>
    <t>陈俊良</t>
  </si>
  <si>
    <t>20#311</t>
  </si>
  <si>
    <t>SS-20-312</t>
  </si>
  <si>
    <t>20#312</t>
  </si>
  <si>
    <t>SS-20-313</t>
  </si>
  <si>
    <t>20#313</t>
  </si>
  <si>
    <t>SS-20-314</t>
  </si>
  <si>
    <t>20#314</t>
  </si>
  <si>
    <t>SS-20-315</t>
  </si>
  <si>
    <t>王兵兵</t>
  </si>
  <si>
    <t>20#315</t>
  </si>
  <si>
    <t>SS-20-401</t>
  </si>
  <si>
    <t>20#401</t>
  </si>
  <si>
    <t>2018-12-11--2019-11-30</t>
  </si>
  <si>
    <t>SS-20-402</t>
  </si>
  <si>
    <t>20#402</t>
  </si>
  <si>
    <t>SS-20-403</t>
  </si>
  <si>
    <t>石锦华</t>
  </si>
  <si>
    <t>13537651521</t>
  </si>
  <si>
    <t>20#403</t>
  </si>
  <si>
    <t>SS-20-404</t>
  </si>
  <si>
    <t>20#404</t>
  </si>
  <si>
    <t>SS-20-405</t>
  </si>
  <si>
    <t>20#405</t>
  </si>
  <si>
    <t>SS-20-406</t>
  </si>
  <si>
    <t>20#406</t>
  </si>
  <si>
    <t>SS-20-407</t>
  </si>
  <si>
    <t>20#407</t>
  </si>
  <si>
    <t>SS-20-408</t>
  </si>
  <si>
    <t>20#408</t>
  </si>
  <si>
    <t>SS-20-409</t>
  </si>
  <si>
    <t>20#409</t>
  </si>
  <si>
    <t>SS-20-410</t>
  </si>
  <si>
    <t>20#410</t>
  </si>
  <si>
    <t>SS-20-411</t>
  </si>
  <si>
    <t>谢通</t>
  </si>
  <si>
    <t>13714730632</t>
  </si>
  <si>
    <t>20#411</t>
  </si>
  <si>
    <t>SS-20-412</t>
  </si>
  <si>
    <t>20#412</t>
  </si>
  <si>
    <t>SS-20-413</t>
  </si>
  <si>
    <t>20#413</t>
  </si>
  <si>
    <t>SS-20-414</t>
  </si>
  <si>
    <t>20#414</t>
  </si>
  <si>
    <t>2018-07-16--2019-07-15</t>
  </si>
  <si>
    <t>SS-20-415</t>
  </si>
  <si>
    <t>20#415</t>
  </si>
  <si>
    <t>SS-20-5F</t>
  </si>
  <si>
    <t>20#5F</t>
  </si>
  <si>
    <t>SS-20-601</t>
  </si>
  <si>
    <t>薛锐宋</t>
  </si>
  <si>
    <t>15625270661</t>
  </si>
  <si>
    <t>20#601</t>
  </si>
  <si>
    <t>SS-20-602</t>
  </si>
  <si>
    <t>文先怀</t>
  </si>
  <si>
    <t>18481820821</t>
  </si>
  <si>
    <t>20#602</t>
  </si>
  <si>
    <t>SS-20-603</t>
  </si>
  <si>
    <t>刘江英</t>
  </si>
  <si>
    <t>13430688583</t>
  </si>
  <si>
    <t>20#603</t>
  </si>
  <si>
    <t>SS-20-604</t>
  </si>
  <si>
    <t>陈永荣</t>
  </si>
  <si>
    <t>18871955693</t>
  </si>
  <si>
    <t>20#604</t>
  </si>
  <si>
    <t>SS-20-605</t>
  </si>
  <si>
    <t>20#605</t>
  </si>
  <si>
    <t>SS-20-606</t>
  </si>
  <si>
    <t>汪富林</t>
  </si>
  <si>
    <t>13530170675</t>
  </si>
  <si>
    <t>20#606</t>
  </si>
  <si>
    <t>SS-20-607</t>
  </si>
  <si>
    <t>鲁丽</t>
  </si>
  <si>
    <t>18681439771</t>
  </si>
  <si>
    <t>20#607</t>
  </si>
  <si>
    <t>SS-20-608</t>
  </si>
  <si>
    <t>20#608</t>
  </si>
  <si>
    <t>SS-20-609</t>
  </si>
  <si>
    <t>20#609</t>
  </si>
  <si>
    <t>SS-20-610</t>
  </si>
  <si>
    <t>杨荣华</t>
  </si>
  <si>
    <t>18664388778</t>
  </si>
  <si>
    <t>20#610</t>
  </si>
  <si>
    <t>SS-20-611</t>
  </si>
  <si>
    <t>20#611</t>
  </si>
  <si>
    <t>SS-20-612</t>
  </si>
  <si>
    <t>20#612</t>
  </si>
  <si>
    <t>SS-20-613</t>
  </si>
  <si>
    <t>20#613</t>
  </si>
  <si>
    <t>2019-03-21--2019-12-31</t>
  </si>
  <si>
    <t>2019-03-21</t>
  </si>
  <si>
    <t>SS-20-614</t>
  </si>
  <si>
    <t>20#614</t>
  </si>
  <si>
    <t>SS-20-615</t>
  </si>
  <si>
    <t>20#615</t>
  </si>
  <si>
    <t>A#宿舍</t>
  </si>
  <si>
    <t>SS-A-101</t>
  </si>
  <si>
    <t>王柳明</t>
  </si>
  <si>
    <t>杨橙</t>
  </si>
  <si>
    <t>13246690363(杨橙）</t>
  </si>
  <si>
    <t>A#101</t>
  </si>
  <si>
    <t>SS-A-102</t>
  </si>
  <si>
    <t>A#102</t>
  </si>
  <si>
    <t>SS-A-103</t>
  </si>
  <si>
    <t>A#103</t>
  </si>
  <si>
    <t>SS-A-104</t>
  </si>
  <si>
    <t>A#104</t>
  </si>
  <si>
    <t>SS-A-105</t>
  </si>
  <si>
    <t>A#105</t>
  </si>
  <si>
    <t>SS-A-106</t>
  </si>
  <si>
    <t>戴元波</t>
  </si>
  <si>
    <t>13411887698</t>
  </si>
  <si>
    <t>A#106</t>
  </si>
  <si>
    <t>SS-A-107</t>
  </si>
  <si>
    <t>陈岩</t>
  </si>
  <si>
    <t>13509617952</t>
  </si>
  <si>
    <t>A#107</t>
  </si>
  <si>
    <t>SS-A-108</t>
  </si>
  <si>
    <t>吴春林</t>
  </si>
  <si>
    <t>13040840701</t>
  </si>
  <si>
    <t>A#108</t>
  </si>
  <si>
    <t>SS-A-109</t>
  </si>
  <si>
    <t>冯文春</t>
  </si>
  <si>
    <t>13926588434</t>
  </si>
  <si>
    <t>A#109</t>
  </si>
  <si>
    <t>SS-A-110</t>
  </si>
  <si>
    <t>苏军</t>
  </si>
  <si>
    <t>15361691109</t>
  </si>
  <si>
    <t>A#110</t>
  </si>
  <si>
    <t>SS-A-2F</t>
  </si>
  <si>
    <t>A#2F</t>
  </si>
  <si>
    <t>SS-A-3F</t>
  </si>
  <si>
    <t>A#3F</t>
  </si>
  <si>
    <t>SS-A-4F</t>
  </si>
  <si>
    <t>A#4F</t>
  </si>
  <si>
    <t>SS-A-501</t>
  </si>
  <si>
    <t>陈镜明</t>
  </si>
  <si>
    <t>13640955603</t>
  </si>
  <si>
    <t>A#501</t>
  </si>
  <si>
    <t>SS-A-502</t>
  </si>
  <si>
    <t>谢荣利</t>
  </si>
  <si>
    <t>18218177244</t>
  </si>
  <si>
    <t>A#502</t>
  </si>
  <si>
    <t>SS-A-503</t>
  </si>
  <si>
    <t>王宜双</t>
  </si>
  <si>
    <t>18824638564</t>
  </si>
  <si>
    <t>A#503</t>
  </si>
  <si>
    <t>SS-A-504</t>
  </si>
  <si>
    <t>顾丽杰</t>
  </si>
  <si>
    <t>18320868057</t>
  </si>
  <si>
    <t>A#504</t>
  </si>
  <si>
    <t>SS-A-505</t>
  </si>
  <si>
    <t>俞涛</t>
  </si>
  <si>
    <t>13544082397</t>
  </si>
  <si>
    <t>A#505</t>
  </si>
  <si>
    <t>SS-A-506</t>
  </si>
  <si>
    <t>赵家齐</t>
  </si>
  <si>
    <t>18665937480</t>
  </si>
  <si>
    <t>A#506</t>
  </si>
  <si>
    <t>SS-A-507</t>
  </si>
  <si>
    <t>张谢代</t>
  </si>
  <si>
    <t>18664939006</t>
  </si>
  <si>
    <t>A#507</t>
  </si>
  <si>
    <t>臧国旭</t>
  </si>
  <si>
    <t>13410372045</t>
  </si>
  <si>
    <t>SS-A-508</t>
  </si>
  <si>
    <t>杨莉</t>
  </si>
  <si>
    <t>19925181992</t>
  </si>
  <si>
    <t>A#508</t>
  </si>
  <si>
    <t>SS-A-509</t>
  </si>
  <si>
    <t>李云洁</t>
  </si>
  <si>
    <t>A#509</t>
  </si>
  <si>
    <t>SS-A-510</t>
  </si>
  <si>
    <t>杜艳</t>
  </si>
  <si>
    <t>18700629056</t>
  </si>
  <si>
    <t>A#510</t>
  </si>
  <si>
    <t>SS-A-601-605</t>
  </si>
  <si>
    <t>深圳市赛莲雅实业发展有限公司</t>
  </si>
  <si>
    <t>A#601-605</t>
  </si>
  <si>
    <t>SS-A-606-610</t>
  </si>
  <si>
    <t>A#606-610</t>
  </si>
  <si>
    <t>B#宿舍</t>
  </si>
  <si>
    <t>SS-B-101</t>
  </si>
  <si>
    <t>覃龙敏</t>
  </si>
  <si>
    <t>13049899088</t>
  </si>
  <si>
    <t>B#101</t>
  </si>
  <si>
    <t>SS-B-102</t>
  </si>
  <si>
    <t>余心菊</t>
  </si>
  <si>
    <t>13418731839</t>
  </si>
  <si>
    <t>B#102</t>
  </si>
  <si>
    <t>SS-B-103</t>
  </si>
  <si>
    <t>容峰</t>
  </si>
  <si>
    <t>容 峰</t>
  </si>
  <si>
    <t>13534210197</t>
  </si>
  <si>
    <t>B#103</t>
  </si>
  <si>
    <t>SS-B-104</t>
  </si>
  <si>
    <t>刘新江</t>
  </si>
  <si>
    <t>13430741570</t>
  </si>
  <si>
    <t>B#104</t>
  </si>
  <si>
    <t>SS-B-105</t>
  </si>
  <si>
    <t>文建碧</t>
  </si>
  <si>
    <t>18080341009</t>
  </si>
  <si>
    <t>B#105</t>
  </si>
  <si>
    <t>2019-02-01--2019-12-31</t>
  </si>
  <si>
    <t>SS-B-106</t>
  </si>
  <si>
    <t>刘伟萍</t>
  </si>
  <si>
    <t>15712005197</t>
  </si>
  <si>
    <t>B#106</t>
  </si>
  <si>
    <t>SS-B-107</t>
  </si>
  <si>
    <t>曾全中</t>
  </si>
  <si>
    <t>13510460092</t>
  </si>
  <si>
    <t>B#107</t>
  </si>
  <si>
    <t>SS-B-108</t>
  </si>
  <si>
    <t>邓细梅</t>
  </si>
  <si>
    <t>15219503516</t>
  </si>
  <si>
    <t>B#108</t>
  </si>
  <si>
    <t>徐平珍</t>
  </si>
  <si>
    <t>18173621630</t>
  </si>
  <si>
    <t>SS-B-109</t>
  </si>
  <si>
    <t>陈利珍</t>
  </si>
  <si>
    <t>13798409521</t>
  </si>
  <si>
    <t>B#109</t>
  </si>
  <si>
    <t>SS-B-110</t>
  </si>
  <si>
    <t>黄秀芬</t>
  </si>
  <si>
    <t>13410628375</t>
  </si>
  <si>
    <t>B#110</t>
  </si>
  <si>
    <t>SS-B-2F</t>
  </si>
  <si>
    <t>深圳市典之奇服饰厂</t>
  </si>
  <si>
    <t>朱浩辉</t>
  </si>
  <si>
    <t>13802558030</t>
  </si>
  <si>
    <t>B#2F</t>
  </si>
  <si>
    <t>SS-B-301</t>
  </si>
  <si>
    <t>15171718551</t>
  </si>
  <si>
    <t>B#301</t>
  </si>
  <si>
    <t>SS-B-302</t>
  </si>
  <si>
    <t>唐平胜</t>
  </si>
  <si>
    <t>13691974743</t>
  </si>
  <si>
    <t>B#302</t>
  </si>
  <si>
    <t>SS-B-303</t>
  </si>
  <si>
    <t>李术芳</t>
  </si>
  <si>
    <t>13414478864</t>
  </si>
  <si>
    <t>B#303</t>
  </si>
  <si>
    <t>SS-B-304</t>
  </si>
  <si>
    <t>陈平安</t>
  </si>
  <si>
    <t>13410263691</t>
  </si>
  <si>
    <t>B#304</t>
  </si>
  <si>
    <t>SS-B-305</t>
  </si>
  <si>
    <t>吕爱珍</t>
  </si>
  <si>
    <t>13697678962</t>
  </si>
  <si>
    <t>B#305</t>
  </si>
  <si>
    <t>SS-B-306</t>
  </si>
  <si>
    <t>张有华</t>
  </si>
  <si>
    <t>13662620136</t>
  </si>
  <si>
    <t>B#306</t>
  </si>
  <si>
    <t>SS-B-307</t>
  </si>
  <si>
    <t>朱超</t>
  </si>
  <si>
    <t>朱 超</t>
  </si>
  <si>
    <t>15338763013</t>
  </si>
  <si>
    <t>B#307</t>
  </si>
  <si>
    <t>SS-B-308</t>
  </si>
  <si>
    <t>王喜梅</t>
  </si>
  <si>
    <t>13670283981</t>
  </si>
  <si>
    <t>B#308</t>
  </si>
  <si>
    <t>SS-B-309</t>
  </si>
  <si>
    <t>李伟</t>
  </si>
  <si>
    <t>18123919959</t>
  </si>
  <si>
    <t>B#309</t>
  </si>
  <si>
    <t>SS-B-310</t>
  </si>
  <si>
    <t>B#310</t>
  </si>
  <si>
    <t>SS-B-4F</t>
  </si>
  <si>
    <t>B#4F</t>
  </si>
  <si>
    <t>SS-B-501</t>
  </si>
  <si>
    <t xml:space="preserve">深圳市立点科技有限公司 </t>
  </si>
  <si>
    <t>杜先生</t>
  </si>
  <si>
    <t>13008815501</t>
  </si>
  <si>
    <t>B#501</t>
  </si>
  <si>
    <t>SS-B-502</t>
  </si>
  <si>
    <t>邓先礼</t>
  </si>
  <si>
    <t>13554780946</t>
  </si>
  <si>
    <t>B#502</t>
  </si>
  <si>
    <t>SS-B-503</t>
  </si>
  <si>
    <t>段武</t>
  </si>
  <si>
    <t>13544233302</t>
  </si>
  <si>
    <t>B#503</t>
  </si>
  <si>
    <t>SS-B-504</t>
  </si>
  <si>
    <t>刘奇</t>
  </si>
  <si>
    <t>13925239231</t>
  </si>
  <si>
    <t>B#504</t>
  </si>
  <si>
    <t>SS-B-505</t>
  </si>
  <si>
    <t>B#505</t>
  </si>
  <si>
    <t>SS-B-506</t>
  </si>
  <si>
    <t>B#506</t>
  </si>
  <si>
    <t>SS-B-507</t>
  </si>
  <si>
    <t>B#507</t>
  </si>
  <si>
    <t>SS-B-508</t>
  </si>
  <si>
    <t>B#508</t>
  </si>
  <si>
    <t>SS-B-509</t>
  </si>
  <si>
    <t>B#509</t>
  </si>
  <si>
    <t>SS-B-510</t>
  </si>
  <si>
    <t>B#510</t>
  </si>
  <si>
    <t>SS-B-601</t>
  </si>
  <si>
    <t>张齐兰</t>
  </si>
  <si>
    <t>18780535514</t>
  </si>
  <si>
    <t>B#601</t>
  </si>
  <si>
    <t>SS-B-602</t>
  </si>
  <si>
    <t>周飞</t>
  </si>
  <si>
    <t>15173488967</t>
  </si>
  <si>
    <t>B#602</t>
  </si>
  <si>
    <t>SS-B-603</t>
  </si>
  <si>
    <t>邢于胜</t>
  </si>
  <si>
    <t>13534268662</t>
  </si>
  <si>
    <t>B#603</t>
  </si>
  <si>
    <t>SS-B-604</t>
  </si>
  <si>
    <t>蒋海燕</t>
  </si>
  <si>
    <t>13631513579</t>
  </si>
  <si>
    <t>B#604</t>
  </si>
  <si>
    <t>SS-B-605</t>
  </si>
  <si>
    <t>李爱雨</t>
  </si>
  <si>
    <t>13713682820</t>
  </si>
  <si>
    <t>B#605</t>
  </si>
  <si>
    <t>SS-B-606</t>
  </si>
  <si>
    <t>李乾平</t>
  </si>
  <si>
    <t>15813826890</t>
  </si>
  <si>
    <t>B#606</t>
  </si>
  <si>
    <t>SS-B-607</t>
  </si>
  <si>
    <t>吴秋珍</t>
  </si>
  <si>
    <t>13691613561</t>
  </si>
  <si>
    <t>B#607</t>
  </si>
  <si>
    <t>SS-B-608</t>
  </si>
  <si>
    <t>陈月华</t>
  </si>
  <si>
    <t>13828832766</t>
  </si>
  <si>
    <t>B#608</t>
  </si>
  <si>
    <t>SS-B-609</t>
  </si>
  <si>
    <t>蔡谷容</t>
  </si>
  <si>
    <t>13528769231</t>
  </si>
  <si>
    <t>B#609</t>
  </si>
  <si>
    <t>SS-B-610</t>
  </si>
  <si>
    <t>B#610</t>
  </si>
  <si>
    <t>CF03-3F-B</t>
  </si>
  <si>
    <t>3#厂房3B</t>
  </si>
  <si>
    <t>CF03-4F</t>
  </si>
  <si>
    <t>3#厂房4层</t>
  </si>
  <si>
    <t>CF03-6F</t>
  </si>
  <si>
    <t>3#厂房6层</t>
  </si>
  <si>
    <t>CF03-7F-B</t>
  </si>
  <si>
    <t>3#厂房7层B</t>
  </si>
  <si>
    <t>CF09-6F-A</t>
  </si>
  <si>
    <t>9#厂房6层A</t>
  </si>
  <si>
    <t>CK-1F</t>
  </si>
  <si>
    <t>仓库1层</t>
  </si>
  <si>
    <t>CK-2F</t>
  </si>
  <si>
    <t>仓库2层</t>
  </si>
  <si>
    <t>CK-3F-A</t>
  </si>
  <si>
    <t>仓库3层东</t>
  </si>
  <si>
    <t>CK-4F-A</t>
  </si>
  <si>
    <t>仓库4层北</t>
  </si>
  <si>
    <t>CK-5F</t>
  </si>
  <si>
    <t>仓库5层</t>
  </si>
  <si>
    <t>FT-2F</t>
  </si>
  <si>
    <t>11#大食堂2层</t>
  </si>
  <si>
    <t>2015-12-10--2021-12-31</t>
  </si>
  <si>
    <t>2015-12-10</t>
  </si>
  <si>
    <t>FT-3F</t>
  </si>
  <si>
    <t>11#大食堂3层</t>
  </si>
  <si>
    <t>FT-5F</t>
  </si>
  <si>
    <t>11#大食堂5层</t>
  </si>
  <si>
    <t>FT-FLSS1F</t>
  </si>
  <si>
    <t>深圳市聚汇佳购物广场有限公司</t>
  </si>
  <si>
    <t>朱玉礼</t>
  </si>
  <si>
    <t>15989871631</t>
  </si>
  <si>
    <t>11#大食堂辅楼宿舍1层</t>
  </si>
  <si>
    <t>FT-FLSS2-4F</t>
  </si>
  <si>
    <t>11#大食堂辅楼宿舍2-4层</t>
  </si>
  <si>
    <t>FT-FLSS5F</t>
  </si>
  <si>
    <t>11#大食堂辅楼宿舍5层</t>
  </si>
  <si>
    <t>FT-4F</t>
  </si>
  <si>
    <t>11#大食堂4层</t>
  </si>
  <si>
    <t>CF04-3F-A</t>
  </si>
  <si>
    <t>4#厂房3层A</t>
  </si>
  <si>
    <t>CF04-3F-B</t>
  </si>
  <si>
    <t>4#厂房3层B</t>
  </si>
  <si>
    <t>SS-08-201</t>
  </si>
  <si>
    <t>8#201</t>
  </si>
  <si>
    <t>SS-08-202</t>
  </si>
  <si>
    <t>8#202</t>
  </si>
  <si>
    <t>SS-08-203</t>
  </si>
  <si>
    <t>8#203</t>
  </si>
  <si>
    <t>SS-08-204</t>
  </si>
  <si>
    <t>8#204</t>
  </si>
  <si>
    <t>SS-08-205</t>
  </si>
  <si>
    <t>8#205</t>
  </si>
  <si>
    <t>SS-08-206</t>
  </si>
  <si>
    <t>8#206</t>
  </si>
  <si>
    <t>SS-08-207</t>
  </si>
  <si>
    <t>8#207</t>
  </si>
  <si>
    <t>SS-08-208</t>
  </si>
  <si>
    <t>8#208</t>
  </si>
  <si>
    <t>SS-08-209</t>
  </si>
  <si>
    <t>8#209</t>
  </si>
  <si>
    <t>SS-08-210</t>
  </si>
  <si>
    <t>8#210</t>
  </si>
  <si>
    <t>SS-08-211</t>
  </si>
  <si>
    <t>8#211</t>
  </si>
  <si>
    <t>SS-08-212</t>
  </si>
  <si>
    <t>8#212</t>
  </si>
  <si>
    <t>CF04-5F-A1</t>
  </si>
  <si>
    <t>4#厂房5层A1</t>
  </si>
  <si>
    <t>FT-6F</t>
  </si>
  <si>
    <t>2017-08-01--2020-05-31</t>
  </si>
  <si>
    <t>CK-4F-B-1</t>
  </si>
  <si>
    <t>仓库4层B</t>
  </si>
  <si>
    <t>CK-4F-C</t>
  </si>
  <si>
    <t>仓库4层C</t>
  </si>
  <si>
    <t>CK-4F-D</t>
  </si>
  <si>
    <t>仓库4层D</t>
  </si>
  <si>
    <t>深圳市威捷汽车服务有限公司</t>
  </si>
  <si>
    <t>13342957888</t>
  </si>
  <si>
    <t>2019-03-01--2019-06-30</t>
  </si>
  <si>
    <t>SS-14-501</t>
  </si>
  <si>
    <t>14#501</t>
  </si>
  <si>
    <t>SS-14-502</t>
  </si>
  <si>
    <t>14#502</t>
  </si>
  <si>
    <t>SS-14-503</t>
  </si>
  <si>
    <t>14#503</t>
  </si>
  <si>
    <t>SS-14-504</t>
  </si>
  <si>
    <t>14#504</t>
  </si>
  <si>
    <t>SS-14-505</t>
  </si>
  <si>
    <t>14#505</t>
  </si>
  <si>
    <t>SS-14-506</t>
  </si>
  <si>
    <t>14#506</t>
  </si>
  <si>
    <t>SS-14-507</t>
  </si>
  <si>
    <t>14#507</t>
  </si>
  <si>
    <t>SS-14-508</t>
  </si>
  <si>
    <t>14#508</t>
  </si>
  <si>
    <t>SS-14-511</t>
  </si>
  <si>
    <t>SS-14-512</t>
  </si>
  <si>
    <t>SS-14-513</t>
  </si>
  <si>
    <t>SS-14-514</t>
  </si>
  <si>
    <t>SS-14-515</t>
  </si>
  <si>
    <t>SS-14-516</t>
  </si>
  <si>
    <t>SS-14-517</t>
  </si>
  <si>
    <t>SS-14-518</t>
  </si>
  <si>
    <t>SS-06-01LTJ</t>
  </si>
  <si>
    <t>谢孝权</t>
  </si>
  <si>
    <t>18665392688</t>
  </si>
  <si>
    <t>6#M01</t>
  </si>
  <si>
    <t>2018-12-16--2019-06-15</t>
  </si>
  <si>
    <t>SS-06-201</t>
  </si>
  <si>
    <t>6#201</t>
  </si>
  <si>
    <t>2018-04-23--2019-04-22</t>
  </si>
  <si>
    <t>2018-04-23</t>
  </si>
  <si>
    <t>SS-06-202</t>
  </si>
  <si>
    <t>6#202</t>
  </si>
  <si>
    <t>SS-06-203</t>
  </si>
  <si>
    <t>6#203</t>
  </si>
  <si>
    <t>SS-06-204</t>
  </si>
  <si>
    <t>6#204</t>
  </si>
  <si>
    <t>SS-06-205</t>
  </si>
  <si>
    <t>6#205</t>
  </si>
  <si>
    <t>SS-06-206</t>
  </si>
  <si>
    <t>杨玉平</t>
  </si>
  <si>
    <t>13451185424</t>
  </si>
  <si>
    <t>6#206</t>
  </si>
  <si>
    <t>2019-03-16--2019-04-15</t>
  </si>
  <si>
    <t>SS-06-207</t>
  </si>
  <si>
    <t>深圳市大业电梯有限公司</t>
  </si>
  <si>
    <t>深圳市大业电梯有限公</t>
  </si>
  <si>
    <t>13590410862</t>
  </si>
  <si>
    <t>6#207</t>
  </si>
  <si>
    <t>SS-06-208</t>
  </si>
  <si>
    <t>卓师宇</t>
  </si>
  <si>
    <t>15213086804</t>
  </si>
  <si>
    <t>6#208</t>
  </si>
  <si>
    <t>SS-06-209</t>
  </si>
  <si>
    <t>金波</t>
  </si>
  <si>
    <t>13925274252</t>
  </si>
  <si>
    <t>6#209</t>
  </si>
  <si>
    <t>2018-09-17--2019-03-31</t>
  </si>
  <si>
    <t>2018-09-17</t>
  </si>
  <si>
    <t>SS-06-210</t>
  </si>
  <si>
    <t>6#210</t>
  </si>
  <si>
    <t>SS-06-211</t>
  </si>
  <si>
    <t>6#211</t>
  </si>
  <si>
    <t>SS-06-212</t>
  </si>
  <si>
    <t>6#212</t>
  </si>
  <si>
    <t>SS-06-701</t>
  </si>
  <si>
    <t>深圳市百年教育培训有限公司</t>
  </si>
  <si>
    <t>韦义</t>
  </si>
  <si>
    <t>13410909684</t>
  </si>
  <si>
    <t>6#701</t>
  </si>
  <si>
    <t>SS-06-702</t>
  </si>
  <si>
    <t>冯霏</t>
  </si>
  <si>
    <t>18676906785</t>
  </si>
  <si>
    <t>6#702</t>
  </si>
  <si>
    <t>2019-01-16--2019-07-15</t>
  </si>
  <si>
    <t>SS-06-703</t>
  </si>
  <si>
    <t>陈荣</t>
  </si>
  <si>
    <t>19952990659</t>
  </si>
  <si>
    <t>6#703</t>
  </si>
  <si>
    <t>2019-03-02--2019-05-31</t>
  </si>
  <si>
    <t>2019-03-02</t>
  </si>
  <si>
    <t>SS-06-704</t>
  </si>
  <si>
    <t>6#704</t>
  </si>
  <si>
    <t>SS-06-705</t>
  </si>
  <si>
    <t>王治忠</t>
  </si>
  <si>
    <t>15986739426</t>
  </si>
  <si>
    <t>6#705</t>
  </si>
  <si>
    <t>2018-12-05--2019-04-04</t>
  </si>
  <si>
    <t>2018-12-05</t>
  </si>
  <si>
    <t>SS-06-706</t>
  </si>
  <si>
    <t>6#706</t>
  </si>
  <si>
    <t>2019-03-15--2019-09-30</t>
  </si>
  <si>
    <t>2019-03-15</t>
  </si>
  <si>
    <t>SS-06-707</t>
  </si>
  <si>
    <t>深圳市国影文化传媒有限公司</t>
  </si>
  <si>
    <t>6#707</t>
  </si>
  <si>
    <t>2018-10-20--2019-08-31</t>
  </si>
  <si>
    <t>SS-06-708</t>
  </si>
  <si>
    <t>刘俊亚</t>
  </si>
  <si>
    <t>18344183904</t>
  </si>
  <si>
    <t>6#708</t>
  </si>
  <si>
    <t>2018-04-04--2019-04-03</t>
  </si>
  <si>
    <t>2018-04-04</t>
  </si>
  <si>
    <t>SS-06-709</t>
  </si>
  <si>
    <t>李林健</t>
  </si>
  <si>
    <t>13724840956</t>
  </si>
  <si>
    <t>6#709</t>
  </si>
  <si>
    <t>2018-10-01--2019-03-31</t>
  </si>
  <si>
    <t>2019-04-01--2019-06-30</t>
  </si>
  <si>
    <t>SS-06-710</t>
  </si>
  <si>
    <t>曾思进</t>
  </si>
  <si>
    <t>15889336825</t>
  </si>
  <si>
    <t>6#710</t>
  </si>
  <si>
    <t>2018-09-25--2019-03-31</t>
  </si>
  <si>
    <t>2018-09-25</t>
  </si>
  <si>
    <t>2019-04-01--2019-09-30</t>
  </si>
  <si>
    <t>SS-06-711</t>
  </si>
  <si>
    <t>6#711</t>
  </si>
  <si>
    <t>SS-06-712</t>
  </si>
  <si>
    <t>佘蓉蓉</t>
  </si>
  <si>
    <t>13602577620</t>
  </si>
  <si>
    <t>6#712</t>
  </si>
  <si>
    <t>2019-03-10--2019-05-31</t>
  </si>
  <si>
    <t>CF03-1F-1</t>
  </si>
  <si>
    <t>3#厂房1层-1</t>
  </si>
  <si>
    <t>CF03-1F-2</t>
  </si>
  <si>
    <t>3#厂房1层-2</t>
  </si>
  <si>
    <t>CF09-5F-A</t>
  </si>
  <si>
    <t>深圳市水星电子商务有限公司</t>
  </si>
  <si>
    <t>黄小姐</t>
  </si>
  <si>
    <t>13530683345</t>
  </si>
  <si>
    <t>9#厂房5层A</t>
  </si>
  <si>
    <t>2018-01-01--2019-08-31</t>
  </si>
  <si>
    <t>CF09-5F-B</t>
  </si>
  <si>
    <t>深圳市绿方格科技有限公司</t>
  </si>
  <si>
    <t>黄立敏</t>
  </si>
  <si>
    <t>9#厂房5层B</t>
  </si>
  <si>
    <t>SS-13-501</t>
  </si>
  <si>
    <t>深圳市汉昆服装厂</t>
  </si>
  <si>
    <t>李小兵</t>
  </si>
  <si>
    <t>15813859489</t>
  </si>
  <si>
    <t>13#5F-501</t>
  </si>
  <si>
    <t>SS-13-502</t>
  </si>
  <si>
    <t>13#5F-502</t>
  </si>
  <si>
    <t>SS-13-503</t>
  </si>
  <si>
    <t>13#5F-503</t>
  </si>
  <si>
    <t>SS-13-504</t>
  </si>
  <si>
    <t>13#5F-504</t>
  </si>
  <si>
    <t>SS-13-505</t>
  </si>
  <si>
    <t>13#5F-505</t>
  </si>
  <si>
    <t>SS-13-506</t>
  </si>
  <si>
    <t>13#5F-506</t>
  </si>
  <si>
    <t>SS-13-507</t>
  </si>
  <si>
    <t>13#5F-507</t>
  </si>
  <si>
    <t>SS-13-508</t>
  </si>
  <si>
    <t>13#5F-508</t>
  </si>
  <si>
    <t>2018-05-10--2019-05-31</t>
  </si>
  <si>
    <t>2018-05-10</t>
  </si>
  <si>
    <t>SS-13-509</t>
  </si>
  <si>
    <t>13#5F-509</t>
  </si>
  <si>
    <t>SS-13-510</t>
  </si>
  <si>
    <t>13#5F-510</t>
  </si>
  <si>
    <t>SS-13-511</t>
  </si>
  <si>
    <t>詹菊生</t>
  </si>
  <si>
    <t>13410744139</t>
  </si>
  <si>
    <t>13#5F-511</t>
  </si>
  <si>
    <t>2018-05-11--2019-05-31</t>
  </si>
  <si>
    <t>2018-05-11</t>
  </si>
  <si>
    <t>SS-13-512</t>
  </si>
  <si>
    <t>13#5F-512</t>
  </si>
  <si>
    <t>SS-13-05LTJ</t>
  </si>
  <si>
    <t>13#05楼梯间</t>
  </si>
  <si>
    <t>SS-14-02LTJ</t>
  </si>
  <si>
    <t>14#02楼梯间</t>
  </si>
  <si>
    <t>CF03-2F-B1</t>
  </si>
  <si>
    <t>3#厂房2层B-1</t>
  </si>
  <si>
    <t>CF03-2F-B2</t>
  </si>
  <si>
    <t>3#厂房2层B-2</t>
  </si>
  <si>
    <t>SS-14-04LTJ</t>
  </si>
  <si>
    <t>14栋04楼梯间</t>
  </si>
  <si>
    <t>2018-04-11--2019-03-31</t>
  </si>
  <si>
    <t>2018-04-11</t>
  </si>
  <si>
    <t>CF08-2F-A-1</t>
  </si>
  <si>
    <t>深圳市彩红亮丽贸易有限公司</t>
  </si>
  <si>
    <t>张总</t>
  </si>
  <si>
    <t>13510160274</t>
  </si>
  <si>
    <t>8#厂房2层A-1</t>
  </si>
  <si>
    <t>SS-12-02LTJ</t>
  </si>
  <si>
    <t>12#宿舍02楼梯间</t>
  </si>
  <si>
    <t>SS-12-05LTJ</t>
  </si>
  <si>
    <t>陈少颂</t>
  </si>
  <si>
    <t>13543285609</t>
  </si>
  <si>
    <t>12#宿舍05楼梯间</t>
  </si>
  <si>
    <t>CK-4F-B-2</t>
  </si>
  <si>
    <t>深圳市万之吟商贸有限公司</t>
  </si>
  <si>
    <t>牛文英</t>
  </si>
  <si>
    <t>13302936452</t>
  </si>
  <si>
    <t>SS-09-401</t>
  </si>
  <si>
    <t>9#401</t>
  </si>
  <si>
    <t>SS-09-402</t>
  </si>
  <si>
    <t>9#402</t>
  </si>
  <si>
    <t>SS-09-403</t>
  </si>
  <si>
    <t>9#403</t>
  </si>
  <si>
    <t>SS-09-404</t>
  </si>
  <si>
    <t>任良武</t>
  </si>
  <si>
    <t>13538023296</t>
  </si>
  <si>
    <t>9#404</t>
  </si>
  <si>
    <t>SS-09-405</t>
  </si>
  <si>
    <t>雷善平</t>
  </si>
  <si>
    <t>13713637586</t>
  </si>
  <si>
    <t>9#405</t>
  </si>
  <si>
    <t>SS-09-406</t>
  </si>
  <si>
    <t>孙雪梅</t>
  </si>
  <si>
    <t>18113502429</t>
  </si>
  <si>
    <t>9#406</t>
  </si>
  <si>
    <t>SS-09-407</t>
  </si>
  <si>
    <t>曹玲</t>
  </si>
  <si>
    <t>13528857609</t>
  </si>
  <si>
    <t>9#407</t>
  </si>
  <si>
    <t>SS-09-408</t>
  </si>
  <si>
    <t>9#408</t>
  </si>
  <si>
    <t>SS-09-409</t>
  </si>
  <si>
    <t>杜碧容</t>
  </si>
  <si>
    <t>15012461087</t>
  </si>
  <si>
    <t>9#409</t>
  </si>
  <si>
    <t>SS-09-410</t>
  </si>
  <si>
    <t>尹宏新</t>
  </si>
  <si>
    <t>13689542359</t>
  </si>
  <si>
    <t>9#410</t>
  </si>
  <si>
    <t>SS-09-501</t>
  </si>
  <si>
    <t>9#501</t>
  </si>
  <si>
    <t>SS-09-502</t>
  </si>
  <si>
    <t>9#502</t>
  </si>
  <si>
    <t>SS-09-503</t>
  </si>
  <si>
    <t>刘让林</t>
  </si>
  <si>
    <t>13927482129</t>
  </si>
  <si>
    <t>9#503</t>
  </si>
  <si>
    <t>SS-09-504</t>
  </si>
  <si>
    <t>9#504</t>
  </si>
  <si>
    <t>SS-09-505</t>
  </si>
  <si>
    <t>9#505</t>
  </si>
  <si>
    <t>SS-09-506</t>
  </si>
  <si>
    <t>9#506</t>
  </si>
  <si>
    <t>SS-09-507</t>
  </si>
  <si>
    <t>廖建勇</t>
  </si>
  <si>
    <t>13979092831</t>
  </si>
  <si>
    <t>9#507</t>
  </si>
  <si>
    <t>SS-09-508</t>
  </si>
  <si>
    <t>9#508</t>
  </si>
  <si>
    <t>SS-09-509</t>
  </si>
  <si>
    <t>9#509</t>
  </si>
  <si>
    <t>SS-09-510</t>
  </si>
  <si>
    <t>翟新中</t>
  </si>
  <si>
    <t>13434752237</t>
  </si>
  <si>
    <t>9#510</t>
  </si>
  <si>
    <t>CF03-1F-2A</t>
  </si>
  <si>
    <t>3#厂房1层-2A</t>
  </si>
  <si>
    <t>CF03-1F-2C</t>
  </si>
  <si>
    <t>3#厂房1层-2C</t>
  </si>
  <si>
    <t>CF03-1F-2E</t>
  </si>
  <si>
    <t>3#厂房1层-2E</t>
  </si>
  <si>
    <t>CF03-1F-2D</t>
  </si>
  <si>
    <t>3#厂房1层-2D</t>
  </si>
  <si>
    <t>SS-12-03LTJ</t>
  </si>
  <si>
    <t>12栋03楼梯间</t>
  </si>
  <si>
    <t>CF07-5F-C</t>
  </si>
  <si>
    <t>深圳市慈心文化传播有限公司</t>
  </si>
  <si>
    <t>邓丽英</t>
  </si>
  <si>
    <t>13922882089</t>
  </si>
  <si>
    <t>7#厂房5层C</t>
  </si>
  <si>
    <t>2018-11-01--2019-05-31</t>
  </si>
  <si>
    <t>SS-13-601</t>
  </si>
  <si>
    <t>13#601</t>
  </si>
  <si>
    <t>SS-13-602</t>
  </si>
  <si>
    <t>13#602</t>
  </si>
  <si>
    <t>SS-13-603</t>
  </si>
  <si>
    <t>13#603</t>
  </si>
  <si>
    <t>SS-13-604</t>
  </si>
  <si>
    <t>13#604</t>
  </si>
  <si>
    <t>SS-13-605</t>
  </si>
  <si>
    <t>13#605</t>
  </si>
  <si>
    <t>SS-13-606</t>
  </si>
  <si>
    <t>13#606</t>
  </si>
  <si>
    <t>SS-13-607</t>
  </si>
  <si>
    <t>13#607</t>
  </si>
  <si>
    <t>SS-13-608</t>
  </si>
  <si>
    <t>13#608</t>
  </si>
  <si>
    <t>SS-13-609</t>
  </si>
  <si>
    <t>13#609</t>
  </si>
  <si>
    <t>SS-13-610</t>
  </si>
  <si>
    <t>13#610</t>
  </si>
  <si>
    <t>SS-13-611</t>
  </si>
  <si>
    <t>13#611</t>
  </si>
  <si>
    <t>SS-13-612</t>
  </si>
  <si>
    <t>13#612</t>
  </si>
  <si>
    <t>SS-20-201</t>
  </si>
  <si>
    <t>申智慧</t>
  </si>
  <si>
    <t>13537859731</t>
  </si>
  <si>
    <t>20#201</t>
  </si>
  <si>
    <t>SS-20-202</t>
  </si>
  <si>
    <t>吴昌隆</t>
  </si>
  <si>
    <t>13544069277</t>
  </si>
  <si>
    <t>20#202</t>
  </si>
  <si>
    <t>王明剑</t>
  </si>
  <si>
    <t>17503036921</t>
  </si>
  <si>
    <t>SS-20-203</t>
  </si>
  <si>
    <t>龙守平</t>
  </si>
  <si>
    <t>20#203</t>
  </si>
  <si>
    <t>SS-20-204</t>
  </si>
  <si>
    <t>张鹏</t>
  </si>
  <si>
    <t>15012581616</t>
  </si>
  <si>
    <t>20#204</t>
  </si>
  <si>
    <t>SS-20-205</t>
  </si>
  <si>
    <t>刘应喜</t>
  </si>
  <si>
    <t>13717139748</t>
  </si>
  <si>
    <t>20#205</t>
  </si>
  <si>
    <t>卢晓芳</t>
  </si>
  <si>
    <t>SS-20-206</t>
  </si>
  <si>
    <t>20#206</t>
  </si>
  <si>
    <t>SS-20-207</t>
  </si>
  <si>
    <t>20#207</t>
  </si>
  <si>
    <t>SS-20-208</t>
  </si>
  <si>
    <t>20#208</t>
  </si>
  <si>
    <t>SS-20-209</t>
  </si>
  <si>
    <t>20#209</t>
  </si>
  <si>
    <t>SS-20-210</t>
  </si>
  <si>
    <t>20#210</t>
  </si>
  <si>
    <t>SS-20-211</t>
  </si>
  <si>
    <t>20#211</t>
  </si>
  <si>
    <t>SS-20-212</t>
  </si>
  <si>
    <t>20#212</t>
  </si>
  <si>
    <t>SS-20-213</t>
  </si>
  <si>
    <t>20#213</t>
  </si>
  <si>
    <t>SS-20-214</t>
  </si>
  <si>
    <t>20#214</t>
  </si>
  <si>
    <t>SS-20-215</t>
  </si>
  <si>
    <t>20#215</t>
  </si>
  <si>
    <t>CF09-4F--B</t>
  </si>
  <si>
    <t>9#厂房4层B</t>
  </si>
  <si>
    <t>CF09-4F-C</t>
  </si>
  <si>
    <t>9#厂房4层C</t>
  </si>
  <si>
    <t>3#宿舍</t>
    <phoneticPr fontId="143" type="noConversion"/>
  </si>
  <si>
    <t>合同面积</t>
    <phoneticPr fontId="143" type="noConversion"/>
  </si>
  <si>
    <t>1#厂房</t>
    <phoneticPr fontId="143" type="noConversion"/>
  </si>
  <si>
    <t>1#住宅</t>
    <phoneticPr fontId="143" type="noConversion"/>
  </si>
  <si>
    <t>饭堂</t>
    <phoneticPr fontId="143" type="noConversion"/>
  </si>
  <si>
    <t>A#宿舍</t>
    <phoneticPr fontId="143" type="noConversion"/>
  </si>
  <si>
    <t>B#宿舍</t>
    <phoneticPr fontId="143" type="noConversion"/>
  </si>
  <si>
    <t>租金（元/平方米·月）</t>
    <phoneticPr fontId="143" type="noConversion"/>
  </si>
  <si>
    <t>应付租金（元/月）</t>
    <phoneticPr fontId="143" type="noConversion"/>
  </si>
  <si>
    <t>合计</t>
    <phoneticPr fontId="143" type="noConversion"/>
  </si>
  <si>
    <t>小计</t>
    <phoneticPr fontId="143" type="noConversion"/>
  </si>
  <si>
    <t>准入产业类别</t>
    <phoneticPr fontId="33" type="noConversion"/>
  </si>
  <si>
    <t>电气机械和器材制造业</t>
    <phoneticPr fontId="33" type="noConversion"/>
  </si>
  <si>
    <t>计算机、通信和其他电子设备制造业</t>
    <phoneticPr fontId="33" type="noConversion"/>
  </si>
  <si>
    <t>http://www.sz68.com/land/025012340000005797/</t>
    <phoneticPr fontId="33" type="noConversion"/>
  </si>
  <si>
    <t>未来产业之生命健康产业</t>
    <phoneticPr fontId="33" type="noConversion"/>
  </si>
  <si>
    <t>http://www.sz68.com/land/025012340000006012/</t>
    <phoneticPr fontId="33" type="noConversion"/>
  </si>
  <si>
    <t>深圳市产业结构调整优化和产业导向目录（2016年修订）</t>
    <phoneticPr fontId="143" type="noConversion"/>
  </si>
  <si>
    <t>http://www.lg.gov.cn/tzcy/cydx/201610/W020180313470049562803.pdf</t>
    <phoneticPr fontId="143" type="noConversion"/>
  </si>
  <si>
    <t>建筑面积</t>
  </si>
  <si>
    <t>分摊土地面积</t>
  </si>
  <si>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</si>
  <si>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</si>
  <si>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</si>
  <si>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</si>
  <si>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</si>
  <si>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</si>
  <si>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</si>
  <si>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</si>
  <si>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</si>
  <si>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rPr>
      <t>N</t>
    </r>
    <r>
      <rPr>
        <sz val="11"/>
        <rFont val="仿宋_GB2312"/>
        <family val="3"/>
        <charset val="134"/>
      </rPr>
      <t>）</t>
    </r>
  </si>
  <si>
    <t>K(N)</t>
  </si>
  <si>
    <t>n</t>
  </si>
  <si>
    <r>
      <t>Y</t>
    </r>
    <r>
      <rPr>
        <sz val="11"/>
        <rFont val="仿宋_GB2312"/>
        <family val="3"/>
        <charset val="134"/>
      </rPr>
      <t>（</t>
    </r>
    <r>
      <rPr>
        <sz val="11"/>
        <rFont val="Arial"/>
        <family val="2"/>
      </rPr>
      <t>n</t>
    </r>
    <r>
      <rPr>
        <sz val="11"/>
        <rFont val="仿宋_GB2312"/>
        <family val="3"/>
        <charset val="134"/>
      </rPr>
      <t>）</t>
    </r>
  </si>
  <si>
    <t>K(n)</t>
  </si>
  <si>
    <t>已知V（N），求取V（n）</t>
    <phoneticPr fontId="269" type="noConversion"/>
  </si>
  <si>
    <r>
      <t>V</t>
    </r>
    <r>
      <rPr>
        <sz val="11"/>
        <rFont val="仿宋_GB2312"/>
        <family val="3"/>
        <charset val="134"/>
      </rPr>
      <t>（</t>
    </r>
    <r>
      <rPr>
        <sz val="11"/>
        <rFont val="Arial"/>
        <family val="2"/>
      </rPr>
      <t>N</t>
    </r>
    <r>
      <rPr>
        <sz val="11"/>
        <rFont val="仿宋_GB2312"/>
        <family val="3"/>
        <charset val="134"/>
      </rPr>
      <t>）</t>
    </r>
    <phoneticPr fontId="269" type="noConversion"/>
  </si>
  <si>
    <r>
      <t>V</t>
    </r>
    <r>
      <rPr>
        <sz val="11"/>
        <rFont val="仿宋_GB2312"/>
        <family val="3"/>
        <charset val="134"/>
      </rPr>
      <t>（</t>
    </r>
    <r>
      <rPr>
        <sz val="11"/>
        <rFont val="Arial"/>
        <family val="2"/>
      </rPr>
      <t>n</t>
    </r>
    <r>
      <rPr>
        <sz val="11"/>
        <rFont val="仿宋_GB2312"/>
        <family val="3"/>
        <charset val="134"/>
      </rPr>
      <t>）</t>
    </r>
    <phoneticPr fontId="269" type="noConversion"/>
  </si>
  <si>
    <t>已知V（n），求取V（N）</t>
    <phoneticPr fontId="269" type="noConversion"/>
  </si>
  <si>
    <r>
      <t>V</t>
    </r>
    <r>
      <rPr>
        <sz val="11"/>
        <rFont val="仿宋_GB2312"/>
        <family val="3"/>
        <charset val="134"/>
      </rPr>
      <t>（</t>
    </r>
    <r>
      <rPr>
        <sz val="11"/>
        <rFont val="Arial"/>
        <family val="2"/>
      </rPr>
      <t>n</t>
    </r>
    <r>
      <rPr>
        <sz val="11"/>
        <rFont val="仿宋_GB2312"/>
        <family val="3"/>
        <charset val="134"/>
      </rPr>
      <t>）</t>
    </r>
  </si>
  <si>
    <r>
      <t>V</t>
    </r>
    <r>
      <rPr>
        <sz val="11"/>
        <rFont val="仿宋_GB2312"/>
        <family val="3"/>
        <charset val="134"/>
      </rPr>
      <t>（</t>
    </r>
    <r>
      <rPr>
        <sz val="11"/>
        <rFont val="Arial"/>
        <family val="2"/>
      </rPr>
      <t>N</t>
    </r>
    <r>
      <rPr>
        <sz val="11"/>
        <rFont val="仿宋_GB2312"/>
        <family val="3"/>
        <charset val="134"/>
      </rPr>
      <t>）</t>
    </r>
  </si>
  <si>
    <t>好</t>
  </si>
  <si>
    <t>快速路</t>
    <phoneticPr fontId="33" type="noConversion"/>
  </si>
  <si>
    <t>主干道</t>
  </si>
  <si>
    <t>主干道</t>
    <phoneticPr fontId="33" type="noConversion"/>
  </si>
  <si>
    <t>次干道</t>
    <phoneticPr fontId="33" type="noConversion"/>
  </si>
  <si>
    <t>支路</t>
  </si>
  <si>
    <t>支路</t>
    <phoneticPr fontId="33" type="noConversion"/>
  </si>
  <si>
    <t>联创路</t>
    <phoneticPr fontId="33" type="noConversion"/>
  </si>
  <si>
    <t>观光路</t>
    <phoneticPr fontId="33" type="noConversion"/>
  </si>
  <si>
    <t>青云路</t>
    <phoneticPr fontId="33" type="noConversion"/>
  </si>
  <si>
    <t>深房地字第6000298230号</t>
    <phoneticPr fontId="143" type="noConversion"/>
  </si>
  <si>
    <t>深圳市中住汇智实业有限公司</t>
    <phoneticPr fontId="143" type="noConversion"/>
  </si>
  <si>
    <t>布吉沙湾百门前工业区</t>
    <phoneticPr fontId="143" type="noConversion"/>
  </si>
  <si>
    <t>深圳市中住汇智实业有限公司</t>
    <phoneticPr fontId="143" type="noConversion"/>
  </si>
  <si>
    <t>年收益</t>
    <phoneticPr fontId="143" type="noConversion"/>
  </si>
  <si>
    <t>CF01-ZDF</t>
    <phoneticPr fontId="143" type="noConversion"/>
  </si>
  <si>
    <t>CF02-ZDF</t>
    <phoneticPr fontId="143" type="noConversion"/>
  </si>
  <si>
    <t>CF03-2F-A1</t>
    <phoneticPr fontId="143" type="noConversion"/>
  </si>
  <si>
    <t>CF03-2F-A2</t>
    <phoneticPr fontId="143" type="noConversion"/>
  </si>
  <si>
    <t>CF03-3F-A</t>
    <phoneticPr fontId="143" type="noConversion"/>
  </si>
  <si>
    <t>CF03-5F</t>
    <phoneticPr fontId="143" type="noConversion"/>
  </si>
  <si>
    <t>CF03-7F-A</t>
    <phoneticPr fontId="143" type="noConversion"/>
  </si>
  <si>
    <t>CF04-4F-A</t>
    <phoneticPr fontId="143" type="noConversion"/>
  </si>
  <si>
    <t>CF04-4F-B</t>
    <phoneticPr fontId="143" type="noConversion"/>
  </si>
  <si>
    <t>CF04-4F-C</t>
    <phoneticPr fontId="143" type="noConversion"/>
  </si>
  <si>
    <t>CF04-4F-D</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</si>
</sst>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theme="1"/>
      <name val="宋体"/>
      <family val="2"/>
      <charset val="134"/>
      <scheme val="minor"/>
    </font>
    <font>
      <sz val="8"/>
      <color theme="1"/>
      <name val="微软雅黑"/>
      <family val="2"/>
      <charset val="134"/>
    </font>
    <font>
      <b/>
      <sz val="8"/>
      <color theme="1"/>
      <name val="微软雅黑"/>
      <family val="2"/>
      <charset val="134"/>
    </font>
    <font>
      <b/>
      <sz val="11"/>
      <color theme="1"/>
      <name val="微软雅黑"/>
      <family val="2"/>
      <charset val="134"/>
    </font>
    <font>
      <b/>
      <sz val="8"/>
      <color rgb="FF000000"/>
      <name val="微软雅黑"/>
      <family val="2"/>
      <charset val="134"/>
    </font>
    <font>
      <sz val="8"/>
      <color rgb="FF78B43C"/>
      <name val="微软雅黑"/>
      <family val="2"/>
      <charset val="134"/>
    </font>
    <font>
      <sz val="8"/>
      <color rgb="FF313131"/>
      <name val="微软雅黑"/>
      <family val="2"/>
      <charset val="134"/>
    </font>
    <font>
      <sz val="8"/>
      <color rgb="FF2E2E2E"/>
      <name val="微软雅黑"/>
      <family val="2"/>
      <charset val="134"/>
    </font>
    <font>
      <u/>
      <sz val="11"/>
      <color theme="10"/>
      <name val="宋体"/>
      <family val="3"/>
      <charset val="134"/>
      <scheme val="minor"/>
    </font>
    <font>
      <sz val="11"/>
      <color theme="1"/>
      <name val="宋体"/>
      <family val="3"/>
      <charset val="134"/>
      <scheme val="minor"/>
    </font>
    <font>
      <sz val="9"/>
      <name val="宋体"/>
      <family val="3"/>
      <charset val="134"/>
      <scheme val="minor"/>
    </font>
    <font>
      <sz val="11"/>
      <name val="仿宋_GB2312"/>
      <family val="3"/>
      <charset val="134"/>
    </font>
    <font>
      <sz val="11"/>
      <color indexed="8"/>
      <name val="仿宋_GB2312"/>
      <family val="3"/>
      <charset val="134"/>
    </font>
    <font>
      <b/>
      <sz val="11"/>
      <color rgb="FFFF0000"/>
      <name val="仿宋_GB2312"/>
      <family val="3"/>
      <charset val="134"/>
    </font>
    <font>
      <sz val="11"/>
      <name val="宋体"/>
      <family val="3"/>
      <charset val="134"/>
    </font>
    <font>
      <sz val="9"/>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bgColor indexed="64"/>
      </patternFill>
    </fill>
    <fill>
      <patternFill patternType="solid">
        <fgColor theme="4" tint="0.39997558519241921"/>
        <bgColor indexed="64"/>
      </patternFill>
    </fill>
    <fill>
      <patternFill patternType="solid">
        <fgColor theme="0" tint="-0.34998626667073579"/>
        <bgColor indexed="64"/>
      </patternFill>
    </fill>
    <fill>
      <patternFill patternType="solid">
        <fgColor theme="3"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25">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194" fontId="254" fillId="0" borderId="0"/>
    <xf numFmtId="194" fontId="56" fillId="0" borderId="0"/>
    <xf numFmtId="194" fontId="56" fillId="0" borderId="0"/>
    <xf numFmtId="194" fontId="99" fillId="0" borderId="0">
      <alignment vertical="center"/>
    </xf>
    <xf numFmtId="0" fontId="262" fillId="0" borderId="0" applyNumberFormat="0" applyFill="0" applyBorder="0" applyAlignment="0" applyProtection="0">
      <alignment vertical="center"/>
    </xf>
    <xf numFmtId="0" fontId="56" fillId="0" borderId="0"/>
    <xf numFmtId="0" fontId="263" fillId="0" borderId="0"/>
    <xf numFmtId="0" fontId="263" fillId="0" borderId="0">
      <alignment vertical="center"/>
    </xf>
  </cellStyleXfs>
  <cellXfs count="348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194" fontId="254" fillId="0" borderId="0" xfId="17"/>
    <xf numFmtId="194" fontId="124" fillId="0" borderId="0" xfId="17" applyFont="1"/>
    <xf numFmtId="0" fontId="255" fillId="0" borderId="0" xfId="17" applyNumberFormat="1" applyFont="1" applyAlignment="1">
      <alignment vertical="top"/>
    </xf>
    <xf numFmtId="0" fontId="255" fillId="0" borderId="0" xfId="17" applyNumberFormat="1" applyFont="1" applyAlignment="1">
      <alignment horizontal="left" vertical="top"/>
    </xf>
    <xf numFmtId="0" fontId="255" fillId="0" borderId="0" xfId="17" applyNumberFormat="1" applyFont="1" applyAlignment="1">
      <alignment horizontal="left" vertical="top" wrapText="1"/>
    </xf>
    <xf numFmtId="0" fontId="255" fillId="0" borderId="0" xfId="17" applyNumberFormat="1" applyFont="1" applyFill="1" applyAlignment="1">
      <alignment horizontal="left" vertical="top" wrapText="1"/>
    </xf>
    <xf numFmtId="0" fontId="255" fillId="0" borderId="0" xfId="17" applyNumberFormat="1" applyFont="1" applyAlignment="1">
      <alignment horizontal="left" vertical="center"/>
    </xf>
    <xf numFmtId="0" fontId="256" fillId="0" borderId="0" xfId="17" applyNumberFormat="1" applyFont="1" applyAlignment="1">
      <alignment vertical="top"/>
    </xf>
    <xf numFmtId="0" fontId="256" fillId="0" borderId="0" xfId="17" applyNumberFormat="1" applyFont="1" applyAlignment="1">
      <alignment horizontal="left" vertical="center"/>
    </xf>
    <xf numFmtId="0" fontId="256" fillId="0" borderId="1" xfId="17" applyNumberFormat="1" applyFont="1" applyBorder="1" applyAlignment="1">
      <alignment horizontal="left" vertical="top" wrapText="1"/>
    </xf>
    <xf numFmtId="0" fontId="256" fillId="0" borderId="1" xfId="17" applyNumberFormat="1" applyFont="1" applyFill="1" applyBorder="1" applyAlignment="1">
      <alignment horizontal="left" vertical="top" wrapText="1"/>
    </xf>
    <xf numFmtId="0" fontId="255" fillId="0" borderId="1" xfId="17" applyNumberFormat="1" applyFont="1" applyBorder="1" applyAlignment="1">
      <alignment horizontal="left" vertical="top" wrapText="1"/>
    </xf>
    <xf numFmtId="0" fontId="256" fillId="5" borderId="25" xfId="17" applyNumberFormat="1" applyFont="1" applyFill="1" applyBorder="1" applyAlignment="1">
      <alignment horizontal="left" vertical="top"/>
    </xf>
    <xf numFmtId="0" fontId="256" fillId="5" borderId="32" xfId="17" applyNumberFormat="1" applyFont="1" applyFill="1" applyBorder="1" applyAlignment="1">
      <alignment horizontal="left" vertical="top" wrapText="1"/>
    </xf>
    <xf numFmtId="0" fontId="256" fillId="5" borderId="32" xfId="17" applyNumberFormat="1" applyFont="1" applyFill="1" applyBorder="1" applyAlignment="1">
      <alignment horizontal="left" vertical="top"/>
    </xf>
    <xf numFmtId="0" fontId="256" fillId="5" borderId="49" xfId="17" applyNumberFormat="1" applyFont="1" applyFill="1" applyBorder="1" applyAlignment="1">
      <alignment horizontal="left" vertical="top"/>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241" fillId="0" borderId="24" xfId="0" applyFont="1" applyFill="1" applyBorder="1" applyAlignment="1" applyProtection="1">
      <alignment horizontal="left" vertical="center" wrapText="1"/>
      <protection locked="0"/>
    </xf>
    <xf numFmtId="0" fontId="256" fillId="5" borderId="1" xfId="17" applyNumberFormat="1" applyFont="1" applyFill="1" applyBorder="1" applyAlignment="1">
      <alignment horizontal="left" vertical="top"/>
    </xf>
    <xf numFmtId="0" fontId="256" fillId="5" borderId="1" xfId="17" applyNumberFormat="1" applyFont="1" applyFill="1" applyBorder="1" applyAlignment="1">
      <alignment horizontal="left" vertical="top" wrapText="1"/>
    </xf>
    <xf numFmtId="0" fontId="256" fillId="5" borderId="6" xfId="17" applyNumberFormat="1" applyFont="1" applyFill="1" applyBorder="1" applyAlignment="1">
      <alignment horizontal="left" vertical="top"/>
    </xf>
    <xf numFmtId="0" fontId="256" fillId="5" borderId="9" xfId="17" applyNumberFormat="1" applyFont="1" applyFill="1" applyBorder="1" applyAlignment="1">
      <alignment horizontal="left" vertical="top" wrapText="1"/>
    </xf>
    <xf numFmtId="0" fontId="256" fillId="5" borderId="9" xfId="17" applyNumberFormat="1" applyFont="1" applyFill="1" applyBorder="1" applyAlignment="1">
      <alignment horizontal="left" vertical="top"/>
    </xf>
    <xf numFmtId="0" fontId="256" fillId="5" borderId="10" xfId="17" applyNumberFormat="1" applyFont="1" applyFill="1" applyBorder="1" applyAlignment="1">
      <alignment horizontal="left" vertical="top"/>
    </xf>
    <xf numFmtId="0" fontId="256" fillId="5" borderId="23" xfId="17" applyNumberFormat="1" applyFont="1" applyFill="1" applyBorder="1" applyAlignment="1">
      <alignment horizontal="left" vertical="top"/>
    </xf>
    <xf numFmtId="0" fontId="256" fillId="5" borderId="24" xfId="17" applyNumberFormat="1" applyFont="1" applyFill="1" applyBorder="1" applyAlignment="1">
      <alignment horizontal="left" vertical="top"/>
    </xf>
    <xf numFmtId="0" fontId="256" fillId="0" borderId="0" xfId="17" applyNumberFormat="1" applyFont="1" applyFill="1" applyAlignment="1">
      <alignment horizontal="left" vertical="top" wrapText="1"/>
    </xf>
    <xf numFmtId="194" fontId="99" fillId="0" borderId="0" xfId="20">
      <alignment vertical="center"/>
    </xf>
    <xf numFmtId="0" fontId="260" fillId="0" borderId="23" xfId="20" applyNumberFormat="1" applyFont="1" applyBorder="1" applyAlignment="1">
      <alignment horizontal="left" vertical="center"/>
    </xf>
    <xf numFmtId="0" fontId="260" fillId="0" borderId="1" xfId="20" applyNumberFormat="1" applyFont="1" applyBorder="1" applyAlignment="1">
      <alignment horizontal="left" vertical="center"/>
    </xf>
    <xf numFmtId="0" fontId="260" fillId="0" borderId="24" xfId="20" applyNumberFormat="1" applyFont="1" applyBorder="1" applyAlignment="1">
      <alignment horizontal="left" vertical="center"/>
    </xf>
    <xf numFmtId="0" fontId="255" fillId="0" borderId="23" xfId="20" applyNumberFormat="1" applyFont="1" applyBorder="1" applyAlignment="1">
      <alignment horizontal="left" vertical="center"/>
    </xf>
    <xf numFmtId="0" fontId="255" fillId="0" borderId="1" xfId="20" applyNumberFormat="1" applyFont="1" applyBorder="1" applyAlignment="1">
      <alignment horizontal="left" vertical="center"/>
    </xf>
    <xf numFmtId="0" fontId="255" fillId="0" borderId="24" xfId="20" applyNumberFormat="1" applyFont="1" applyBorder="1" applyAlignment="1">
      <alignment horizontal="left" vertical="center"/>
    </xf>
    <xf numFmtId="0" fontId="261" fillId="0" borderId="25" xfId="20" applyNumberFormat="1" applyFont="1" applyBorder="1" applyAlignment="1">
      <alignment horizontal="left" vertical="center"/>
    </xf>
    <xf numFmtId="0" fontId="261" fillId="0" borderId="32" xfId="20" applyNumberFormat="1" applyFont="1" applyBorder="1" applyAlignment="1">
      <alignment horizontal="left" vertical="center"/>
    </xf>
    <xf numFmtId="0" fontId="261" fillId="0" borderId="49" xfId="20" applyNumberFormat="1" applyFont="1" applyBorder="1" applyAlignment="1">
      <alignment horizontal="left" vertical="center"/>
    </xf>
    <xf numFmtId="0" fontId="255" fillId="17" borderId="23" xfId="17" applyNumberFormat="1" applyFont="1" applyFill="1" applyBorder="1" applyAlignment="1">
      <alignment horizontal="left" vertical="top"/>
    </xf>
    <xf numFmtId="0" fontId="255" fillId="17" borderId="1" xfId="17" applyNumberFormat="1" applyFont="1" applyFill="1" applyBorder="1" applyAlignment="1">
      <alignment horizontal="left" vertical="top" wrapText="1"/>
    </xf>
    <xf numFmtId="0" fontId="256" fillId="17" borderId="1" xfId="17" applyNumberFormat="1" applyFont="1" applyFill="1" applyBorder="1" applyAlignment="1">
      <alignment horizontal="left" vertical="top" wrapText="1"/>
    </xf>
    <xf numFmtId="0" fontId="255" fillId="17" borderId="1" xfId="17" applyNumberFormat="1" applyFont="1" applyFill="1" applyBorder="1" applyAlignment="1">
      <alignment horizontal="left" vertical="top"/>
    </xf>
    <xf numFmtId="0" fontId="255" fillId="17" borderId="24" xfId="17" applyNumberFormat="1" applyFont="1" applyFill="1" applyBorder="1" applyAlignment="1">
      <alignment horizontal="left" vertical="top"/>
    </xf>
    <xf numFmtId="0" fontId="255" fillId="18" borderId="23" xfId="17" applyNumberFormat="1" applyFont="1" applyFill="1" applyBorder="1" applyAlignment="1">
      <alignment horizontal="left" vertical="top"/>
    </xf>
    <xf numFmtId="0" fontId="255" fillId="18" borderId="1" xfId="17" applyNumberFormat="1" applyFont="1" applyFill="1" applyBorder="1" applyAlignment="1">
      <alignment horizontal="left" vertical="top" wrapText="1"/>
    </xf>
    <xf numFmtId="0" fontId="256" fillId="18" borderId="1" xfId="17" applyNumberFormat="1" applyFont="1" applyFill="1" applyBorder="1" applyAlignment="1">
      <alignment horizontal="left" vertical="top" wrapText="1"/>
    </xf>
    <xf numFmtId="0" fontId="255" fillId="18" borderId="1" xfId="17" applyNumberFormat="1" applyFont="1" applyFill="1" applyBorder="1" applyAlignment="1">
      <alignment horizontal="left" vertical="top"/>
    </xf>
    <xf numFmtId="0" fontId="255" fillId="18" borderId="24" xfId="17" applyNumberFormat="1" applyFont="1" applyFill="1" applyBorder="1" applyAlignment="1">
      <alignment horizontal="left" vertical="top"/>
    </xf>
    <xf numFmtId="0" fontId="255" fillId="19" borderId="23" xfId="17" applyNumberFormat="1" applyFont="1" applyFill="1" applyBorder="1" applyAlignment="1">
      <alignment horizontal="left" vertical="top"/>
    </xf>
    <xf numFmtId="0" fontId="255" fillId="19" borderId="1" xfId="17" applyNumberFormat="1" applyFont="1" applyFill="1" applyBorder="1" applyAlignment="1">
      <alignment horizontal="left" vertical="top" wrapText="1"/>
    </xf>
    <xf numFmtId="0" fontId="256" fillId="19" borderId="1" xfId="17" applyNumberFormat="1" applyFont="1" applyFill="1" applyBorder="1" applyAlignment="1">
      <alignment horizontal="left" vertical="top" wrapText="1"/>
    </xf>
    <xf numFmtId="0" fontId="255" fillId="19" borderId="1" xfId="17" applyNumberFormat="1" applyFont="1" applyFill="1" applyBorder="1" applyAlignment="1">
      <alignment horizontal="left" vertical="top"/>
    </xf>
    <xf numFmtId="0" fontId="255" fillId="19" borderId="24" xfId="17" applyNumberFormat="1" applyFont="1" applyFill="1" applyBorder="1" applyAlignment="1">
      <alignment horizontal="left" vertical="top"/>
    </xf>
    <xf numFmtId="0" fontId="258" fillId="19" borderId="1" xfId="17" applyNumberFormat="1" applyFont="1" applyFill="1" applyBorder="1" applyAlignment="1">
      <alignment horizontal="left" vertical="top" wrapText="1"/>
    </xf>
    <xf numFmtId="0" fontId="255" fillId="20" borderId="1" xfId="17" applyNumberFormat="1" applyFont="1" applyFill="1" applyBorder="1" applyAlignment="1">
      <alignment horizontal="left" vertical="top" wrapText="1"/>
    </xf>
    <xf numFmtId="0" fontId="256" fillId="20" borderId="1" xfId="17" applyNumberFormat="1" applyFont="1" applyFill="1" applyBorder="1" applyAlignment="1">
      <alignment horizontal="left" vertical="top" wrapText="1"/>
    </xf>
    <xf numFmtId="0" fontId="255" fillId="20" borderId="1" xfId="17" applyNumberFormat="1" applyFont="1" applyFill="1" applyBorder="1" applyAlignment="1">
      <alignment horizontal="left" vertical="top"/>
    </xf>
    <xf numFmtId="0" fontId="255" fillId="20" borderId="24" xfId="17" applyNumberFormat="1" applyFont="1" applyFill="1" applyBorder="1" applyAlignment="1">
      <alignment horizontal="left" vertical="top"/>
    </xf>
    <xf numFmtId="0" fontId="255" fillId="20" borderId="23" xfId="17" applyNumberFormat="1" applyFont="1" applyFill="1" applyBorder="1" applyAlignment="1">
      <alignment horizontal="left" vertical="top"/>
    </xf>
    <xf numFmtId="0" fontId="262" fillId="0" borderId="0" xfId="21">
      <alignment vertical="center"/>
    </xf>
    <xf numFmtId="192" fontId="255" fillId="0" borderId="0" xfId="17" applyNumberFormat="1" applyFont="1" applyAlignment="1">
      <alignment horizontal="left" vertical="top" wrapText="1"/>
    </xf>
    <xf numFmtId="192" fontId="256" fillId="0" borderId="1" xfId="17" applyNumberFormat="1" applyFont="1" applyBorder="1" applyAlignment="1">
      <alignment horizontal="left" vertical="top" wrapText="1"/>
    </xf>
    <xf numFmtId="192" fontId="255" fillId="20" borderId="1" xfId="17" applyNumberFormat="1" applyFont="1" applyFill="1" applyBorder="1" applyAlignment="1">
      <alignment horizontal="left" vertical="top" wrapText="1"/>
    </xf>
    <xf numFmtId="192" fontId="255" fillId="19" borderId="1" xfId="17" applyNumberFormat="1" applyFont="1" applyFill="1" applyBorder="1" applyAlignment="1">
      <alignment horizontal="left" vertical="top" wrapText="1"/>
    </xf>
    <xf numFmtId="192" fontId="255" fillId="18" borderId="1" xfId="17" applyNumberFormat="1" applyFont="1" applyFill="1" applyBorder="1" applyAlignment="1">
      <alignment horizontal="left" vertical="top" wrapText="1"/>
    </xf>
    <xf numFmtId="192" fontId="256" fillId="5" borderId="32" xfId="17" applyNumberFormat="1" applyFont="1" applyFill="1" applyBorder="1" applyAlignment="1">
      <alignment horizontal="left" vertical="top" wrapText="1"/>
    </xf>
    <xf numFmtId="192" fontId="256" fillId="5" borderId="9" xfId="17" applyNumberFormat="1" applyFont="1" applyFill="1" applyBorder="1" applyAlignment="1">
      <alignment horizontal="left" vertical="top" wrapText="1"/>
    </xf>
    <xf numFmtId="192" fontId="256" fillId="5" borderId="1" xfId="17" applyNumberFormat="1" applyFont="1" applyFill="1" applyBorder="1" applyAlignment="1">
      <alignment horizontal="left" vertical="top" wrapText="1"/>
    </xf>
    <xf numFmtId="0" fontId="183" fillId="0" borderId="0" xfId="17" applyNumberFormat="1" applyFont="1"/>
    <xf numFmtId="0" fontId="254" fillId="0" borderId="0" xfId="17" applyNumberFormat="1"/>
    <xf numFmtId="0" fontId="257" fillId="0" borderId="0" xfId="17" applyNumberFormat="1" applyFont="1"/>
    <xf numFmtId="0" fontId="124" fillId="0" borderId="0" xfId="17" applyNumberFormat="1" applyFont="1"/>
    <xf numFmtId="192" fontId="255" fillId="5" borderId="1" xfId="17" applyNumberFormat="1" applyFont="1" applyFill="1" applyBorder="1" applyAlignment="1">
      <alignment horizontal="left" vertical="top" wrapText="1"/>
    </xf>
    <xf numFmtId="0" fontId="256" fillId="5" borderId="17" xfId="17" applyNumberFormat="1" applyFont="1" applyFill="1" applyBorder="1" applyAlignment="1">
      <alignment horizontal="left" vertical="top" wrapText="1"/>
    </xf>
    <xf numFmtId="192" fontId="255" fillId="17" borderId="1" xfId="17" applyNumberFormat="1" applyFont="1" applyFill="1" applyBorder="1" applyAlignment="1">
      <alignment horizontal="left" vertical="top" wrapText="1"/>
    </xf>
    <xf numFmtId="177" fontId="255" fillId="0" borderId="0" xfId="17" applyNumberFormat="1" applyFont="1" applyAlignment="1">
      <alignment horizontal="left" vertical="top"/>
    </xf>
    <xf numFmtId="9" fontId="255" fillId="0" borderId="0" xfId="17" applyNumberFormat="1" applyFont="1" applyAlignment="1">
      <alignment horizontal="left" vertical="top"/>
    </xf>
    <xf numFmtId="177" fontId="255" fillId="5" borderId="0" xfId="17" applyNumberFormat="1" applyFont="1" applyFill="1" applyAlignment="1">
      <alignment horizontal="left" vertical="top"/>
    </xf>
    <xf numFmtId="0" fontId="255" fillId="0" borderId="0" xfId="17" applyNumberFormat="1" applyFont="1" applyFill="1" applyAlignment="1">
      <alignment horizontal="left" vertical="top"/>
    </xf>
    <xf numFmtId="0" fontId="255" fillId="5" borderId="0" xfId="17" applyNumberFormat="1" applyFont="1" applyFill="1" applyAlignment="1">
      <alignment horizontal="left" vertical="top"/>
    </xf>
    <xf numFmtId="9" fontId="255" fillId="5" borderId="0" xfId="17" applyNumberFormat="1" applyFont="1" applyFill="1" applyAlignment="1">
      <alignment horizontal="left" vertical="top"/>
    </xf>
    <xf numFmtId="0" fontId="256" fillId="0" borderId="0" xfId="17" applyNumberFormat="1" applyFont="1" applyAlignment="1">
      <alignment horizontal="left" vertical="top"/>
    </xf>
    <xf numFmtId="9" fontId="256" fillId="0" borderId="0" xfId="17" applyNumberFormat="1" applyFont="1" applyAlignment="1">
      <alignment horizontal="left" vertical="top"/>
    </xf>
    <xf numFmtId="177" fontId="256" fillId="0" borderId="0" xfId="17" applyNumberFormat="1" applyFont="1" applyAlignment="1">
      <alignment horizontal="left" vertical="top"/>
    </xf>
    <xf numFmtId="177" fontId="183" fillId="0" borderId="0" xfId="17" applyNumberFormat="1" applyFont="1" applyAlignment="1">
      <alignment horizontal="left" vertical="top"/>
    </xf>
    <xf numFmtId="177" fontId="257" fillId="0" borderId="0" xfId="17" applyNumberFormat="1" applyFont="1" applyAlignment="1">
      <alignment horizontal="left" vertical="top"/>
    </xf>
    <xf numFmtId="0" fontId="255" fillId="21" borderId="23" xfId="17" applyNumberFormat="1" applyFont="1" applyFill="1" applyBorder="1" applyAlignment="1">
      <alignment horizontal="left" vertical="top"/>
    </xf>
    <xf numFmtId="0" fontId="255" fillId="21" borderId="1" xfId="17" applyNumberFormat="1" applyFont="1" applyFill="1" applyBorder="1" applyAlignment="1">
      <alignment horizontal="left" vertical="top" wrapText="1"/>
    </xf>
    <xf numFmtId="192" fontId="255" fillId="21" borderId="1" xfId="17" applyNumberFormat="1" applyFont="1" applyFill="1" applyBorder="1" applyAlignment="1">
      <alignment horizontal="left" vertical="top" wrapText="1"/>
    </xf>
    <xf numFmtId="0" fontId="256" fillId="21" borderId="1" xfId="17" applyNumberFormat="1" applyFont="1" applyFill="1" applyBorder="1" applyAlignment="1">
      <alignment horizontal="left" vertical="top" wrapText="1"/>
    </xf>
    <xf numFmtId="0" fontId="255" fillId="21" borderId="1" xfId="17" applyNumberFormat="1" applyFont="1" applyFill="1" applyBorder="1" applyAlignment="1">
      <alignment horizontal="left" vertical="top"/>
    </xf>
    <xf numFmtId="0" fontId="255" fillId="21" borderId="24" xfId="17" applyNumberFormat="1" applyFont="1" applyFill="1" applyBorder="1" applyAlignment="1">
      <alignment horizontal="left" vertical="top"/>
    </xf>
    <xf numFmtId="181" fontId="256" fillId="5" borderId="1" xfId="17" applyNumberFormat="1" applyFont="1" applyFill="1" applyBorder="1" applyAlignment="1">
      <alignment horizontal="left" vertical="top" wrapText="1"/>
    </xf>
    <xf numFmtId="181" fontId="256" fillId="5" borderId="17" xfId="17" applyNumberFormat="1" applyFont="1" applyFill="1" applyBorder="1" applyAlignment="1">
      <alignment horizontal="left" vertical="top" wrapText="1"/>
    </xf>
    <xf numFmtId="181" fontId="256" fillId="5" borderId="32" xfId="17" applyNumberFormat="1" applyFont="1" applyFill="1" applyBorder="1" applyAlignment="1">
      <alignment horizontal="left" vertical="top" wrapText="1"/>
    </xf>
    <xf numFmtId="0" fontId="0" fillId="0" borderId="0" xfId="0" applyAlignment="1">
      <alignment horizontal="left" vertical="top"/>
    </xf>
    <xf numFmtId="0" fontId="0" fillId="0" borderId="0" xfId="0" applyAlignment="1">
      <alignment horizontal="left" vertical="top" wrapText="1"/>
    </xf>
    <xf numFmtId="0" fontId="0" fillId="5" borderId="0" xfId="0" applyFill="1" applyAlignment="1">
      <alignment horizontal="left" vertical="top" wrapText="1"/>
    </xf>
    <xf numFmtId="0" fontId="0" fillId="5" borderId="0" xfId="0" applyFill="1" applyAlignment="1"/>
    <xf numFmtId="0" fontId="56" fillId="0" borderId="0" xfId="22" applyAlignment="1">
      <alignment horizontal="left" vertical="top" wrapText="1"/>
    </xf>
    <xf numFmtId="0" fontId="56" fillId="0" borderId="0" xfId="22" applyAlignment="1">
      <alignment horizontal="left" vertical="top"/>
    </xf>
    <xf numFmtId="0" fontId="56" fillId="5" borderId="0" xfId="22" applyFill="1" applyAlignment="1">
      <alignment horizontal="left" vertical="top" wrapText="1"/>
    </xf>
    <xf numFmtId="0" fontId="56" fillId="5" borderId="0" xfId="22" applyFill="1" applyAlignment="1">
      <alignment horizontal="left" vertical="top"/>
    </xf>
    <xf numFmtId="0" fontId="0" fillId="5" borderId="0" xfId="0" applyFill="1" applyAlignment="1">
      <alignment horizontal="left" vertical="top"/>
    </xf>
    <xf numFmtId="0" fontId="56" fillId="5" borderId="0" xfId="22" applyFill="1" applyAlignment="1">
      <alignment wrapText="1"/>
    </xf>
    <xf numFmtId="0" fontId="0" fillId="5" borderId="0" xfId="0" applyFill="1" applyAlignment="1">
      <alignment vertical="center" wrapText="1"/>
    </xf>
    <xf numFmtId="0" fontId="99" fillId="5" borderId="0" xfId="0" applyFont="1" applyFill="1">
      <alignment vertical="center"/>
    </xf>
    <xf numFmtId="0" fontId="0" fillId="5" borderId="0" xfId="0" applyFill="1">
      <alignment vertical="center"/>
    </xf>
    <xf numFmtId="0" fontId="99" fillId="0" borderId="0" xfId="0" applyFont="1" applyAlignment="1">
      <alignment horizontal="left" vertical="top" wrapText="1"/>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262" fillId="0" borderId="0" xfId="21" applyNumberFormat="1" applyAlignment="1">
      <alignment vertical="top"/>
    </xf>
    <xf numFmtId="0" fontId="0" fillId="0" borderId="1" xfId="0" applyBorder="1" applyAlignment="1">
      <alignment horizontal="left" vertical="top"/>
    </xf>
    <xf numFmtId="0" fontId="0" fillId="0" borderId="1" xfId="0" applyBorder="1" applyAlignment="1">
      <alignment horizontal="left" vertical="top" wrapText="1"/>
    </xf>
    <xf numFmtId="0" fontId="0" fillId="5" borderId="1" xfId="0" applyFill="1" applyBorder="1" applyAlignment="1">
      <alignment horizontal="left" vertical="top" wrapText="1"/>
    </xf>
    <xf numFmtId="177" fontId="0" fillId="0" borderId="0" xfId="0" applyNumberFormat="1" applyAlignment="1">
      <alignment horizontal="left" vertical="center"/>
    </xf>
    <xf numFmtId="177" fontId="99" fillId="5" borderId="0" xfId="0" applyNumberFormat="1" applyFont="1" applyFill="1" applyAlignment="1">
      <alignment horizontal="left" vertical="center"/>
    </xf>
    <xf numFmtId="0" fontId="0" fillId="0" borderId="6" xfId="0" applyBorder="1" applyAlignment="1">
      <alignment horizontal="left" vertical="top"/>
    </xf>
    <xf numFmtId="0" fontId="99" fillId="0" borderId="9" xfId="0" applyFont="1" applyBorder="1" applyAlignment="1">
      <alignment horizontal="left" vertical="top"/>
    </xf>
    <xf numFmtId="0" fontId="99" fillId="0" borderId="23" xfId="0" applyFont="1" applyBorder="1" applyAlignment="1">
      <alignment horizontal="left" vertical="top"/>
    </xf>
    <xf numFmtId="0" fontId="100" fillId="5" borderId="23" xfId="0" applyFont="1" applyFill="1" applyBorder="1" applyAlignment="1">
      <alignment horizontal="left" vertical="top"/>
    </xf>
    <xf numFmtId="0" fontId="100" fillId="5" borderId="1" xfId="0" applyFont="1" applyFill="1" applyBorder="1" applyAlignment="1">
      <alignment horizontal="left" vertical="top"/>
    </xf>
    <xf numFmtId="0" fontId="100" fillId="5" borderId="0" xfId="0" applyFont="1" applyFill="1" applyAlignment="1">
      <alignment horizontal="left" vertical="top"/>
    </xf>
    <xf numFmtId="0" fontId="100" fillId="5" borderId="25" xfId="0" applyFont="1" applyFill="1" applyBorder="1" applyAlignment="1">
      <alignment horizontal="left" vertical="top"/>
    </xf>
    <xf numFmtId="0" fontId="100" fillId="5" borderId="32" xfId="0" applyFont="1" applyFill="1" applyBorder="1" applyAlignment="1">
      <alignment horizontal="left" vertical="top"/>
    </xf>
    <xf numFmtId="177" fontId="0" fillId="0" borderId="0" xfId="0" applyNumberFormat="1" applyAlignment="1">
      <alignment vertical="center" wrapText="1"/>
    </xf>
    <xf numFmtId="0" fontId="99" fillId="0" borderId="9" xfId="0" applyFont="1" applyBorder="1" applyAlignment="1">
      <alignment horizontal="left" vertical="top" wrapText="1"/>
    </xf>
    <xf numFmtId="177" fontId="99" fillId="0" borderId="10" xfId="0" applyNumberFormat="1" applyFont="1" applyBorder="1" applyAlignment="1">
      <alignment horizontal="left" vertical="top" wrapText="1"/>
    </xf>
    <xf numFmtId="177" fontId="0" fillId="0" borderId="24" xfId="0" applyNumberFormat="1" applyBorder="1" applyAlignment="1">
      <alignment horizontal="left" vertical="top" wrapText="1"/>
    </xf>
    <xf numFmtId="0" fontId="100" fillId="5" borderId="1" xfId="0" applyFont="1" applyFill="1" applyBorder="1" applyAlignment="1">
      <alignment horizontal="left" vertical="top" wrapText="1"/>
    </xf>
    <xf numFmtId="177" fontId="100" fillId="5" borderId="24" xfId="0" applyNumberFormat="1" applyFont="1" applyFill="1" applyBorder="1" applyAlignment="1">
      <alignment horizontal="left" vertical="top" wrapText="1"/>
    </xf>
    <xf numFmtId="0" fontId="100" fillId="5" borderId="32" xfId="0" applyFont="1" applyFill="1" applyBorder="1" applyAlignment="1">
      <alignment horizontal="left" vertical="top" wrapText="1"/>
    </xf>
    <xf numFmtId="177" fontId="100" fillId="5" borderId="49" xfId="0" applyNumberFormat="1" applyFont="1" applyFill="1" applyBorder="1" applyAlignment="1">
      <alignment horizontal="left" vertical="top" wrapText="1"/>
    </xf>
    <xf numFmtId="0" fontId="137" fillId="0" borderId="46" xfId="0"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0" fontId="98" fillId="0" borderId="23" xfId="0" applyNumberFormat="1" applyFont="1" applyFill="1" applyBorder="1" applyAlignment="1" applyProtection="1">
      <alignment horizontal="center" vertical="center" wrapText="1"/>
      <protection locked="0"/>
    </xf>
    <xf numFmtId="0" fontId="118" fillId="6" borderId="26" xfId="23" applyFont="1" applyFill="1" applyBorder="1"/>
    <xf numFmtId="184" fontId="47" fillId="0" borderId="67" xfId="23" applyNumberFormat="1" applyFont="1" applyFill="1" applyBorder="1" applyAlignment="1" applyProtection="1">
      <alignment horizontal="center" vertical="center"/>
      <protection locked="0"/>
    </xf>
    <xf numFmtId="0" fontId="118" fillId="0" borderId="0" xfId="23" applyFont="1"/>
    <xf numFmtId="180" fontId="265" fillId="6" borderId="6" xfId="24" applyNumberFormat="1" applyFont="1" applyFill="1" applyBorder="1" applyAlignment="1" applyProtection="1">
      <alignment horizontal="center" vertical="center" wrapText="1"/>
    </xf>
    <xf numFmtId="0" fontId="266" fillId="6" borderId="9" xfId="23" applyFont="1" applyFill="1" applyBorder="1" applyAlignment="1" applyProtection="1">
      <alignment horizontal="center" vertical="center" wrapText="1"/>
    </xf>
    <xf numFmtId="179" fontId="266" fillId="6" borderId="9" xfId="23" applyNumberFormat="1" applyFont="1" applyFill="1" applyBorder="1" applyAlignment="1" applyProtection="1">
      <alignment horizontal="center" vertical="center" wrapText="1"/>
    </xf>
    <xf numFmtId="0" fontId="266" fillId="6" borderId="10" xfId="23" applyFont="1" applyFill="1" applyBorder="1" applyAlignment="1" applyProtection="1">
      <alignment horizontal="center" vertical="center" wrapText="1"/>
    </xf>
    <xf numFmtId="177" fontId="47" fillId="5" borderId="23" xfId="24" applyNumberFormat="1" applyFont="1" applyFill="1" applyBorder="1" applyAlignment="1" applyProtection="1">
      <alignment horizontal="center" vertical="center"/>
      <protection locked="0"/>
    </xf>
    <xf numFmtId="184" fontId="47" fillId="0" borderId="1" xfId="23" applyNumberFormat="1" applyFont="1" applyFill="1" applyBorder="1" applyAlignment="1" applyProtection="1">
      <alignment horizontal="center" vertical="center"/>
      <protection locked="0"/>
    </xf>
    <xf numFmtId="179" fontId="54" fillId="6" borderId="1" xfId="24" applyNumberFormat="1" applyFont="1" applyFill="1" applyBorder="1" applyAlignment="1" applyProtection="1">
      <alignment horizontal="center" vertical="center"/>
    </xf>
    <xf numFmtId="180" fontId="54" fillId="6" borderId="1" xfId="24" applyNumberFormat="1" applyFont="1" applyFill="1" applyBorder="1" applyAlignment="1" applyProtection="1">
      <alignment horizontal="center" vertical="center"/>
    </xf>
    <xf numFmtId="181" fontId="104" fillId="0" borderId="24" xfId="23" applyNumberFormat="1" applyFont="1" applyFill="1" applyBorder="1" applyAlignment="1" applyProtection="1">
      <alignment horizontal="center" vertical="center"/>
      <protection locked="0"/>
    </xf>
    <xf numFmtId="177" fontId="47" fillId="5" borderId="25" xfId="24" applyNumberFormat="1" applyFont="1" applyFill="1" applyBorder="1" applyAlignment="1" applyProtection="1">
      <alignment horizontal="center" vertical="center"/>
      <protection locked="0"/>
    </xf>
    <xf numFmtId="184" fontId="47" fillId="0" borderId="32" xfId="23" applyNumberFormat="1" applyFont="1" applyFill="1" applyBorder="1" applyAlignment="1" applyProtection="1">
      <alignment horizontal="center" vertical="center"/>
      <protection locked="0"/>
    </xf>
    <xf numFmtId="179" fontId="54" fillId="6" borderId="32" xfId="24" applyNumberFormat="1" applyFont="1" applyFill="1" applyBorder="1" applyAlignment="1" applyProtection="1">
      <alignment horizontal="center" vertical="center"/>
    </xf>
    <xf numFmtId="180" fontId="54" fillId="6" borderId="32" xfId="24" applyNumberFormat="1" applyFont="1" applyFill="1" applyBorder="1" applyAlignment="1" applyProtection="1">
      <alignment horizontal="center" vertical="center"/>
    </xf>
    <xf numFmtId="181" fontId="104" fillId="0" borderId="49" xfId="23" applyNumberFormat="1" applyFont="1" applyFill="1" applyBorder="1" applyAlignment="1" applyProtection="1">
      <alignment horizontal="center" vertical="center"/>
      <protection locked="0"/>
    </xf>
    <xf numFmtId="0" fontId="267" fillId="6" borderId="16" xfId="23" applyFont="1" applyFill="1" applyBorder="1" applyAlignment="1">
      <alignment vertical="center"/>
    </xf>
    <xf numFmtId="0" fontId="118" fillId="6" borderId="31" xfId="23" applyFont="1" applyFill="1" applyBorder="1" applyAlignment="1">
      <alignment vertical="center"/>
    </xf>
    <xf numFmtId="0" fontId="118" fillId="0" borderId="0" xfId="23" applyFont="1" applyAlignment="1">
      <alignment vertical="center"/>
    </xf>
    <xf numFmtId="0" fontId="118" fillId="6" borderId="63" xfId="23" applyFont="1" applyFill="1" applyBorder="1"/>
    <xf numFmtId="0" fontId="265" fillId="6" borderId="64" xfId="23" applyFont="1" applyFill="1" applyBorder="1" applyAlignment="1">
      <alignment horizontal="right" vertical="center"/>
    </xf>
    <xf numFmtId="0" fontId="265" fillId="6" borderId="65" xfId="23" applyFont="1" applyFill="1" applyBorder="1" applyAlignment="1">
      <alignment horizontal="right" vertical="center"/>
    </xf>
    <xf numFmtId="0" fontId="54" fillId="6" borderId="6" xfId="23" applyFont="1" applyFill="1" applyBorder="1" applyAlignment="1">
      <alignment horizontal="center"/>
    </xf>
    <xf numFmtId="0" fontId="104" fillId="0" borderId="9" xfId="23" applyFont="1" applyBorder="1" applyAlignment="1" applyProtection="1">
      <alignment horizontal="center"/>
      <protection locked="0"/>
    </xf>
    <xf numFmtId="0" fontId="54" fillId="6" borderId="9" xfId="23" applyFont="1" applyFill="1" applyBorder="1" applyAlignment="1">
      <alignment horizontal="center"/>
    </xf>
    <xf numFmtId="9" fontId="104" fillId="0" borderId="9" xfId="23" applyNumberFormat="1" applyFont="1" applyBorder="1" applyAlignment="1" applyProtection="1">
      <alignment horizontal="center"/>
      <protection locked="0"/>
    </xf>
    <xf numFmtId="0" fontId="54" fillId="6" borderId="10" xfId="23" applyFont="1" applyFill="1" applyBorder="1"/>
    <xf numFmtId="0" fontId="54" fillId="6" borderId="25" xfId="23" applyFont="1" applyFill="1" applyBorder="1" applyAlignment="1">
      <alignment horizontal="center"/>
    </xf>
    <xf numFmtId="0" fontId="104" fillId="0" borderId="32" xfId="23" applyFont="1" applyBorder="1" applyAlignment="1" applyProtection="1">
      <alignment horizontal="center"/>
      <protection locked="0"/>
    </xf>
    <xf numFmtId="0" fontId="54" fillId="6" borderId="32" xfId="23" applyFont="1" applyFill="1" applyBorder="1" applyAlignment="1">
      <alignment horizontal="center"/>
    </xf>
    <xf numFmtId="9" fontId="104" fillId="0" borderId="32" xfId="23" applyNumberFormat="1" applyFont="1" applyBorder="1" applyAlignment="1" applyProtection="1">
      <alignment horizontal="center"/>
      <protection locked="0"/>
    </xf>
    <xf numFmtId="0" fontId="54" fillId="6" borderId="49" xfId="23" applyFont="1" applyFill="1" applyBorder="1"/>
    <xf numFmtId="0" fontId="268" fillId="6" borderId="0" xfId="23" applyFont="1" applyFill="1" applyBorder="1" applyAlignment="1">
      <alignment horizontal="left"/>
    </xf>
    <xf numFmtId="0" fontId="54" fillId="6" borderId="0" xfId="23" applyFont="1" applyFill="1" applyBorder="1" applyAlignment="1">
      <alignment horizontal="center"/>
    </xf>
    <xf numFmtId="0" fontId="104" fillId="0" borderId="9" xfId="23" applyFont="1" applyFill="1" applyBorder="1" applyAlignment="1" applyProtection="1">
      <alignment horizontal="center"/>
      <protection locked="0"/>
    </xf>
    <xf numFmtId="0" fontId="104" fillId="0" borderId="0" xfId="23" applyFont="1"/>
    <xf numFmtId="0" fontId="104" fillId="6" borderId="32" xfId="23" applyFont="1" applyFill="1" applyBorder="1" applyAlignment="1">
      <alignment horizontal="center"/>
    </xf>
    <xf numFmtId="0" fontId="118" fillId="6" borderId="0" xfId="23" applyFont="1" applyFill="1"/>
    <xf numFmtId="0" fontId="104" fillId="0" borderId="10" xfId="23" applyFont="1" applyFill="1" applyBorder="1" applyAlignment="1" applyProtection="1">
      <alignment horizontal="center"/>
      <protection locked="0"/>
    </xf>
    <xf numFmtId="0" fontId="104" fillId="6" borderId="49" xfId="23" applyFont="1" applyFill="1" applyBorder="1" applyAlignment="1">
      <alignment horizontal="center"/>
    </xf>
    <xf numFmtId="0" fontId="47" fillId="22" borderId="24" xfId="0" applyNumberFormat="1" applyFont="1" applyFill="1" applyBorder="1" applyAlignment="1" applyProtection="1">
      <alignment horizontal="center" vertical="center" wrapText="1"/>
    </xf>
    <xf numFmtId="49" fontId="98" fillId="0" borderId="35"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56" fillId="23" borderId="24" xfId="0" applyFont="1" applyFill="1" applyBorder="1" applyAlignment="1" applyProtection="1">
      <alignment horizontal="center" vertical="center"/>
      <protection locked="0"/>
    </xf>
    <xf numFmtId="180" fontId="0" fillId="0" borderId="0" xfId="0" applyNumberFormat="1" applyAlignment="1">
      <alignment horizontal="left" vertical="center"/>
    </xf>
    <xf numFmtId="179" fontId="55" fillId="23" borderId="24" xfId="0" applyNumberFormat="1" applyFont="1" applyFill="1" applyBorder="1" applyAlignment="1" applyProtection="1">
      <alignment horizontal="center" vertical="center"/>
    </xf>
    <xf numFmtId="0" fontId="99" fillId="0" borderId="1" xfId="0" applyFont="1" applyBorder="1" applyAlignment="1">
      <alignment horizontal="left" vertical="top" wrapText="1"/>
    </xf>
    <xf numFmtId="179" fontId="104" fillId="0" borderId="0" xfId="23" applyNumberFormat="1" applyFont="1"/>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49"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255" fillId="0" borderId="1" xfId="17" applyNumberFormat="1" applyFont="1" applyBorder="1" applyAlignment="1">
      <alignment horizontal="left" vertical="top" wrapText="1"/>
    </xf>
    <xf numFmtId="0" fontId="256" fillId="0" borderId="17" xfId="17" applyNumberFormat="1" applyFont="1" applyBorder="1" applyAlignment="1">
      <alignment horizontal="left" vertical="top"/>
    </xf>
    <xf numFmtId="0" fontId="256" fillId="0" borderId="2" xfId="17" applyNumberFormat="1" applyFont="1" applyBorder="1" applyAlignment="1">
      <alignment horizontal="left" vertical="top"/>
    </xf>
    <xf numFmtId="9" fontId="256" fillId="0" borderId="17" xfId="17" applyNumberFormat="1" applyFont="1" applyBorder="1" applyAlignment="1">
      <alignment horizontal="left" vertical="top"/>
    </xf>
    <xf numFmtId="9" fontId="256" fillId="0" borderId="2" xfId="17" applyNumberFormat="1" applyFont="1" applyBorder="1" applyAlignment="1">
      <alignment horizontal="left" vertical="top"/>
    </xf>
    <xf numFmtId="177" fontId="256" fillId="0" borderId="17" xfId="17" applyNumberFormat="1" applyFont="1" applyBorder="1" applyAlignment="1">
      <alignment horizontal="left" vertical="top"/>
    </xf>
    <xf numFmtId="177" fontId="256" fillId="0" borderId="2" xfId="17" applyNumberFormat="1" applyFont="1" applyBorder="1" applyAlignment="1">
      <alignment horizontal="left" vertical="top"/>
    </xf>
    <xf numFmtId="0" fontId="256" fillId="0" borderId="17" xfId="17" applyNumberFormat="1" applyFont="1" applyFill="1" applyBorder="1" applyAlignment="1">
      <alignment horizontal="left" vertical="top" wrapText="1"/>
    </xf>
    <xf numFmtId="0" fontId="256" fillId="0" borderId="2" xfId="17" applyNumberFormat="1" applyFont="1" applyFill="1" applyBorder="1" applyAlignment="1">
      <alignment horizontal="left" vertical="top" wrapText="1"/>
    </xf>
    <xf numFmtId="0" fontId="256" fillId="0" borderId="62" xfId="17" applyNumberFormat="1" applyFont="1" applyBorder="1" applyAlignment="1">
      <alignment horizontal="left" vertical="top"/>
    </xf>
    <xf numFmtId="0" fontId="256" fillId="0" borderId="8" xfId="17" applyNumberFormat="1" applyFont="1" applyBorder="1" applyAlignment="1">
      <alignment horizontal="left" vertical="top"/>
    </xf>
    <xf numFmtId="0" fontId="256" fillId="0" borderId="6" xfId="17" applyNumberFormat="1" applyFont="1" applyBorder="1" applyAlignment="1">
      <alignment horizontal="left" vertical="top"/>
    </xf>
    <xf numFmtId="0" fontId="256" fillId="0" borderId="23" xfId="17" applyNumberFormat="1" applyFont="1" applyBorder="1" applyAlignment="1">
      <alignment horizontal="left" vertical="top"/>
    </xf>
    <xf numFmtId="0" fontId="256" fillId="0" borderId="9" xfId="17" applyNumberFormat="1" applyFont="1" applyBorder="1" applyAlignment="1">
      <alignment horizontal="left" vertical="top" wrapText="1"/>
    </xf>
    <xf numFmtId="0" fontId="256" fillId="0" borderId="1" xfId="17" applyNumberFormat="1" applyFont="1" applyBorder="1" applyAlignment="1">
      <alignment horizontal="left" vertical="top" wrapText="1"/>
    </xf>
    <xf numFmtId="0" fontId="255" fillId="0" borderId="23" xfId="17" applyNumberFormat="1" applyFont="1" applyBorder="1" applyAlignment="1">
      <alignment horizontal="left" vertical="top"/>
    </xf>
    <xf numFmtId="0" fontId="256" fillId="0" borderId="17" xfId="17" applyNumberFormat="1" applyFont="1" applyBorder="1" applyAlignment="1">
      <alignment horizontal="left" vertical="top" wrapText="1"/>
    </xf>
    <xf numFmtId="0" fontId="256" fillId="0" borderId="2" xfId="17" applyNumberFormat="1" applyFont="1" applyBorder="1" applyAlignment="1">
      <alignment horizontal="left" vertical="top"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265" fillId="6" borderId="63" xfId="23" applyFont="1" applyFill="1" applyBorder="1" applyAlignment="1">
      <alignment horizontal="center"/>
    </xf>
    <xf numFmtId="0" fontId="265" fillId="6" borderId="64" xfId="23" applyFont="1" applyFill="1" applyBorder="1" applyAlignment="1">
      <alignment horizontal="center"/>
    </xf>
    <xf numFmtId="0" fontId="259" fillId="0" borderId="6" xfId="20" applyNumberFormat="1" applyFont="1" applyBorder="1" applyAlignment="1">
      <alignment horizontal="left" vertical="center"/>
    </xf>
    <xf numFmtId="0" fontId="259" fillId="0" borderId="9" xfId="20" applyNumberFormat="1" applyFont="1" applyBorder="1" applyAlignment="1">
      <alignment horizontal="left" vertical="center"/>
    </xf>
    <xf numFmtId="0" fontId="259" fillId="0" borderId="10" xfId="20" applyNumberFormat="1" applyFont="1" applyBorder="1" applyAlignment="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25">
    <cellStyle name="百分比 2" xfId="14"/>
    <cellStyle name="常规" xfId="0" builtinId="0"/>
    <cellStyle name="常规 10" xfId="20"/>
    <cellStyle name="常规 11" xfId="22"/>
    <cellStyle name="常规 12" xfId="23"/>
    <cellStyle name="常规 16" xfId="10"/>
    <cellStyle name="常规 2" xfId="1"/>
    <cellStyle name="常规 2 2" xfId="8"/>
    <cellStyle name="常规 2 2 2 2 3" xfId="15"/>
    <cellStyle name="常规 2 3" xfId="18"/>
    <cellStyle name="常规 2 4" xfId="24"/>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21" builtinId="8"/>
    <cellStyle name="普通 2" xfId="19"/>
    <cellStyle name="普通 3" xfId="17"/>
  </cellStyles>
  <dxfs count="21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34848</xdr:rowOff>
    </xdr:from>
    <xdr:to>
      <xdr:col>10</xdr:col>
      <xdr:colOff>1030559</xdr:colOff>
      <xdr:row>70</xdr:row>
      <xdr:rowOff>146203</xdr:rowOff>
    </xdr:to>
    <xdr:pic>
      <xdr:nvPicPr>
        <xdr:cNvPr id="2" name="图片 1" descr="屏幕快照 2019-03-21 上午12.48.13.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0827226"/>
          <a:ext cx="8058150" cy="38748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16</xdr:row>
      <xdr:rowOff>57150</xdr:rowOff>
    </xdr:from>
    <xdr:to>
      <xdr:col>14</xdr:col>
      <xdr:colOff>28575</xdr:colOff>
      <xdr:row>53</xdr:row>
      <xdr:rowOff>142875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809875"/>
          <a:ext cx="9629775" cy="6429375"/>
        </a:xfrm>
        <a:prstGeom prst="rect">
          <a:avLst/>
        </a:prstGeom>
      </xdr:spPr>
    </xdr:pic>
    <xdr:clientData/>
  </xdr:twoCellAnchor>
  <xdr:twoCellAnchor editAs="oneCell">
    <xdr:from>
      <xdr:col>0</xdr:col>
      <xdr:colOff>0</xdr:colOff>
      <xdr:row>55</xdr:row>
      <xdr:rowOff>0</xdr:rowOff>
    </xdr:from>
    <xdr:to>
      <xdr:col>10</xdr:col>
      <xdr:colOff>314603</xdr:colOff>
      <xdr:row>86</xdr:row>
      <xdr:rowOff>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9439275"/>
          <a:ext cx="7172603" cy="5314950"/>
        </a:xfrm>
        <a:prstGeom prst="rect">
          <a:avLst/>
        </a:prstGeom>
      </xdr:spPr>
    </xdr:pic>
    <xdr:clientData/>
  </xdr:twoCellAnchor>
  <xdr:twoCellAnchor editAs="oneCell">
    <xdr:from>
      <xdr:col>10</xdr:col>
      <xdr:colOff>459073</xdr:colOff>
      <xdr:row>55</xdr:row>
      <xdr:rowOff>0</xdr:rowOff>
    </xdr:from>
    <xdr:to>
      <xdr:col>21</xdr:col>
      <xdr:colOff>219075</xdr:colOff>
      <xdr:row>85</xdr:row>
      <xdr:rowOff>19050</xdr:rowOff>
    </xdr:to>
    <xdr:pic>
      <xdr:nvPicPr>
        <xdr:cNvPr id="4" name="图片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17073" y="9439275"/>
          <a:ext cx="7303802" cy="5162550"/>
        </a:xfrm>
        <a:prstGeom prst="rect">
          <a:avLst/>
        </a:prstGeom>
      </xdr:spPr>
    </xdr:pic>
    <xdr:clientData/>
  </xdr:twoCellAnchor>
  <xdr:twoCellAnchor editAs="oneCell">
    <xdr:from>
      <xdr:col>0</xdr:col>
      <xdr:colOff>0</xdr:colOff>
      <xdr:row>86</xdr:row>
      <xdr:rowOff>57150</xdr:rowOff>
    </xdr:from>
    <xdr:to>
      <xdr:col>10</xdr:col>
      <xdr:colOff>316725</xdr:colOff>
      <xdr:row>117</xdr:row>
      <xdr:rowOff>166029</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4811375"/>
          <a:ext cx="7174725" cy="5423829"/>
        </a:xfrm>
        <a:prstGeom prst="rect">
          <a:avLst/>
        </a:prstGeom>
      </xdr:spPr>
    </xdr:pic>
    <xdr:clientData/>
  </xdr:twoCellAnchor>
  <xdr:twoCellAnchor editAs="oneCell">
    <xdr:from>
      <xdr:col>10</xdr:col>
      <xdr:colOff>473850</xdr:colOff>
      <xdr:row>86</xdr:row>
      <xdr:rowOff>73800</xdr:rowOff>
    </xdr:from>
    <xdr:to>
      <xdr:col>21</xdr:col>
      <xdr:colOff>104775</xdr:colOff>
      <xdr:row>114</xdr:row>
      <xdr:rowOff>81075</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331850" y="14828025"/>
          <a:ext cx="7174725" cy="4807875"/>
        </a:xfrm>
        <a:prstGeom prst="rect">
          <a:avLst/>
        </a:prstGeom>
      </xdr:spPr>
    </xdr:pic>
    <xdr:clientData/>
  </xdr:twoCellAnchor>
  <xdr:twoCellAnchor editAs="oneCell">
    <xdr:from>
      <xdr:col>0</xdr:col>
      <xdr:colOff>0</xdr:colOff>
      <xdr:row>118</xdr:row>
      <xdr:rowOff>95250</xdr:rowOff>
    </xdr:from>
    <xdr:to>
      <xdr:col>10</xdr:col>
      <xdr:colOff>290834</xdr:colOff>
      <xdr:row>149</xdr:row>
      <xdr:rowOff>28575</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20335875"/>
          <a:ext cx="7148834" cy="5248275"/>
        </a:xfrm>
        <a:prstGeom prst="rect">
          <a:avLst/>
        </a:prstGeom>
      </xdr:spPr>
    </xdr:pic>
    <xdr:clientData/>
  </xdr:twoCellAnchor>
  <xdr:twoCellAnchor editAs="oneCell">
    <xdr:from>
      <xdr:col>10</xdr:col>
      <xdr:colOff>550050</xdr:colOff>
      <xdr:row>118</xdr:row>
      <xdr:rowOff>164539</xdr:rowOff>
    </xdr:from>
    <xdr:to>
      <xdr:col>17</xdr:col>
      <xdr:colOff>467951</xdr:colOff>
      <xdr:row>138</xdr:row>
      <xdr:rowOff>18857</xdr:rowOff>
    </xdr:to>
    <xdr:pic>
      <xdr:nvPicPr>
        <xdr:cNvPr id="8" name="图片 7"/>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408050" y="20405164"/>
          <a:ext cx="4718501" cy="328331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69850</xdr:rowOff>
    </xdr:from>
    <xdr:to>
      <xdr:col>8</xdr:col>
      <xdr:colOff>331231</xdr:colOff>
      <xdr:row>21</xdr:row>
      <xdr:rowOff>161925</xdr:rowOff>
    </xdr:to>
    <xdr:pic>
      <xdr:nvPicPr>
        <xdr:cNvPr id="2" name="图片 1" descr="屏幕快照 2019-03-21 上午12.50.08.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41300"/>
          <a:ext cx="7036831" cy="35210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19968;&#37096;&#20869;&#37096;&#31649;&#29702;/&#27169;&#26495;/&#19968;&#37096;&#35780;&#20272;&#25216;&#26415;/&#27979;&#31639;&#34920;&#35843;&#25972;&#20013;/&#30005;&#31639;&#34920;/&#35780;&#20272;&#19968;&#37096;&#8212;&#30005;&#31639;&#34920;-&#39564;&#35777;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5.&#31199;&#36161;&#21512;&#21516;&#21488;&#36134;2019-02.xlsx" TargetMode="External"/><Relationship Id="rId1" Type="http://schemas.openxmlformats.org/officeDocument/2006/relationships/hyperlink" Target="https://sf-item.taobao.com/sf_item/578474329805.htm?spm=a213w.999999.noticeDetail.1.43f534cdI9Mi9D" TargetMode="Externa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4.xml.rels><?xml version="1.0" encoding="UTF-8" standalone="yes"?>
<Relationships xmlns="http://schemas.openxmlformats.org/package/2006/relationships"><Relationship Id="rId3" Type="http://schemas.openxmlformats.org/officeDocument/2006/relationships/hyperlink" Target="http://www.lg.gov.cn/tzcy/cydx/201610/W020180313470049562803.pdf" TargetMode="External"/><Relationship Id="rId2" Type="http://schemas.openxmlformats.org/officeDocument/2006/relationships/hyperlink" Target="http://www.sz.gov.cn/zfgb/2013/gb820/201301/t20130123_2103280.htm" TargetMode="External"/><Relationship Id="rId1" Type="http://schemas.openxmlformats.org/officeDocument/2006/relationships/hyperlink" Target="http://www.sz.gov.cn/zfgb/2016/gb978/201611/t20161108_5261552.htm" TargetMode="External"/><Relationship Id="rId4"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43" zoomScale="80" zoomScaleNormal="80" workbookViewId="0">
      <selection sqref="A1:XFD74"/>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广东省深圳市龙岗区布吉镇沙湾“百门前工业区”工业项目局部房地产抵押价值预评估</v>
      </c>
    </row>
    <row r="3" spans="1:2" s="1593" customFormat="1">
      <c r="A3" s="1591" t="s">
        <v>1217</v>
      </c>
      <c r="B3" s="1592" t="str">
        <f>'预评函-封皮'!B40</f>
        <v>五矿国际信托有限公司</v>
      </c>
    </row>
    <row r="4" spans="1:2" s="1593" customFormat="1">
      <c r="A4" s="1591" t="s">
        <v>1218</v>
      </c>
      <c r="B4" s="1592" t="str">
        <f ca="1">'预评函-封皮'!B46</f>
        <v>郑燚（注册号：1120070131)、王鹏（注册号：1120050019)</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受贵公司委托，我公司对广东省深圳市龙岗区布吉镇沙湾“百门前工业区”工业项目局部房地产抵押价值进行了预评估。</v>
      </c>
    </row>
    <row r="7" spans="1:2" s="1593" customFormat="1">
      <c r="A7" s="1591" t="s">
        <v>1260</v>
      </c>
      <c r="B7" s="1592" t="str">
        <f>'预评函-1'!A7</f>
        <v>估价对象为广东省深圳市龙岗区布吉镇沙湾“百门前工业区”工业项目局部房地产，为深圳市中住汇智实业有限公司所有。根据《房地产证》[深房地字第6000298230号]等共32本，估价对象（分摊）出让国有建设用地使用权面积为95897.74平方米，建筑面积为193040.62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广东省深圳市龙岗区布吉镇沙湾“百门前工业区”工业项目局部房地产,属深圳市中住汇智实业有限公司开发建设的工业项目，该项目尚在开发建设中。根据《房地产证》[深房地字第6000298230号]等共32本，估价对象（分摊）出让国有建设用地使用权面积为95897.74平方米，规划建筑面积为193040.62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深圳市中住汇智实业有限公司拟使用广东省深圳市龙岗区布吉镇沙湾“百门前工业区”工业项目局部房地产作为抵押担保物，向五矿国际信托有限公司办理贷款手续。五矿国际信托有限公司特委托北京康正宏基房地产评估有限公司对上述抵押物进行评估。本次评估为确定房地产抵押贷款额度提供参考依据而评估房地产抵押价值。</v>
      </c>
    </row>
    <row r="12" spans="1:2" s="1593" customFormat="1">
      <c r="A12" s="1591" t="s">
        <v>1222</v>
      </c>
      <c r="B12" s="1592" t="str">
        <f>'预评函-1'!A15</f>
        <v>2019年3月20日（评估专业人员实地查勘之日）</v>
      </c>
    </row>
    <row r="13" spans="1:2" s="1593" customFormat="1">
      <c r="A13" s="1591" t="s">
        <v>1223</v>
      </c>
      <c r="B13" s="1592" t="str">
        <f>'预评函-1'!A18</f>
        <v>本次估价的“房地产价值”是指在正常市场情况下，在价值时点2019年3月20日，估价对象规划用途为工业22.76年，土地取得方式为出让，出让国有建设用地使用权剩余土地使用年限为工业22.76年，假定未设立法定优先受偿款下的房地产市场价值。</v>
      </c>
    </row>
    <row r="14" spans="1:2" s="1593" customFormat="1">
      <c r="A14" s="1591" t="s">
        <v>1224</v>
      </c>
      <c r="B14" s="1592" t="str">
        <f>'预评函-1'!A19</f>
        <v>其中，“出让国有建设用地使用权价值”是指估价对象用途为工业22.76年，实际开发程度为宗地红线外“七通”（即通路、通电、通讯、通上水、通下水、、）、红线内场地平整条件下，剩余土地使用年限为工业22.76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本次评估采用的主估价方法为成本法和收益法。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81875</v>
      </c>
    </row>
    <row r="21" spans="1:2" s="1593" customFormat="1">
      <c r="A21" s="1591" t="s">
        <v>1231</v>
      </c>
      <c r="B21" s="1592">
        <f ca="1">'预评函-2'!D7</f>
        <v>4241</v>
      </c>
    </row>
    <row r="22" spans="1:2" s="1593" customFormat="1">
      <c r="A22" s="1591" t="s">
        <v>1232</v>
      </c>
      <c r="B22" s="1592" t="str">
        <f ca="1">'预评函-2'!D6</f>
        <v>捌亿壹仟捌佰柒拾伍万元整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81875</v>
      </c>
    </row>
    <row r="31" spans="1:2" s="1593" customFormat="1">
      <c r="A31" s="1591" t="s">
        <v>1270</v>
      </c>
      <c r="B31" s="1592">
        <f ca="1">'预评函-2'!D15</f>
        <v>4241</v>
      </c>
    </row>
    <row r="32" spans="1:2" s="1593" customFormat="1">
      <c r="A32" s="1591" t="s">
        <v>1237</v>
      </c>
      <c r="B32" s="1592" t="str">
        <f ca="1">'预评函-2'!D14</f>
        <v>捌亿壹仟捌佰柒拾伍万元整</v>
      </c>
    </row>
    <row r="33" spans="1:2" s="1593" customFormat="1">
      <c r="A33" s="1591" t="s">
        <v>1272</v>
      </c>
      <c r="B33" s="1592" t="str">
        <f>'预评函-2'!B16</f>
        <v>4.抵押担保权已注销时的房地产抵押价值</v>
      </c>
    </row>
    <row r="34" spans="1:2" s="1593" customFormat="1">
      <c r="A34" s="1591" t="s">
        <v>1290</v>
      </c>
      <c r="B34" s="1592">
        <f ca="1">'预评函-2'!D16</f>
        <v>81875</v>
      </c>
    </row>
    <row r="35" spans="1:2" s="1593" customFormat="1">
      <c r="A35" s="1591" t="s">
        <v>1271</v>
      </c>
      <c r="B35" s="1592">
        <f ca="1">'预评函-2'!D18</f>
        <v>4241</v>
      </c>
    </row>
    <row r="36" spans="1:2" s="1593" customFormat="1">
      <c r="A36" s="1591" t="s">
        <v>1238</v>
      </c>
      <c r="B36" s="1592" t="str">
        <f ca="1">'预评函-2'!D17</f>
        <v>捌亿壹仟捌佰柒拾伍万元整</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广东省深圳市龙岗区布吉镇沙湾“百门前工业区”工业项目局部房地产</v>
      </c>
    </row>
    <row r="42" spans="1:2" s="1593" customFormat="1">
      <c r="A42" s="1591" t="s">
        <v>1284</v>
      </c>
      <c r="B42" s="1592" t="str">
        <f>'预评函-3'!B2</f>
        <v>建筑面积</v>
      </c>
    </row>
    <row r="43" spans="1:2" s="1593" customFormat="1">
      <c r="A43" s="1591" t="s">
        <v>1285</v>
      </c>
      <c r="B43" s="1592">
        <f>'预评函-3'!B4</f>
        <v>193040.62000000002</v>
      </c>
    </row>
    <row r="44" spans="1:2" s="1593" customFormat="1">
      <c r="A44" s="1591" t="s">
        <v>1269</v>
      </c>
      <c r="B44" s="1592" t="str">
        <f>'预评函-3'!C2</f>
        <v>(分摊)土地面积</v>
      </c>
    </row>
    <row r="45" spans="1:2" s="1593" customFormat="1">
      <c r="A45" s="1591" t="s">
        <v>1241</v>
      </c>
      <c r="B45" s="1592">
        <f>'预评函-3'!C4</f>
        <v>95897.74</v>
      </c>
    </row>
    <row r="46" spans="1:2" s="1593" customFormat="1">
      <c r="A46" s="1591" t="s">
        <v>1267</v>
      </c>
      <c r="B46" s="1592" t="str">
        <f>'预评函-3'!D2</f>
        <v>出让国有建设用地使用权价值</v>
      </c>
    </row>
    <row r="47" spans="1:2" s="1593" customFormat="1">
      <c r="A47" s="1591" t="s">
        <v>1242</v>
      </c>
      <c r="B47" s="1592">
        <f ca="1">'预评函-3'!D4</f>
        <v>60915</v>
      </c>
    </row>
    <row r="48" spans="1:2" s="1593" customFormat="1">
      <c r="A48" s="1591" t="s">
        <v>1243</v>
      </c>
      <c r="B48" s="1592">
        <f ca="1">'预评函-3'!E4</f>
        <v>3155</v>
      </c>
    </row>
    <row r="49" spans="1:2" s="1593" customFormat="1">
      <c r="A49" s="1591" t="s">
        <v>1244</v>
      </c>
      <c r="B49" s="1592" t="str">
        <f ca="1">'预评函-3'!D5</f>
        <v>陆亿零玖佰壹拾伍万元整</v>
      </c>
    </row>
    <row r="50" spans="1:2" s="1593" customFormat="1">
      <c r="A50" s="1591" t="s">
        <v>1268</v>
      </c>
      <c r="B50" s="1592" t="str">
        <f>'预评函-3'!F2</f>
        <v>在建建筑物价值</v>
      </c>
    </row>
    <row r="51" spans="1:2" s="1593" customFormat="1">
      <c r="A51" s="1591" t="s">
        <v>1245</v>
      </c>
      <c r="B51" s="1592">
        <f ca="1">'预评函-3'!F4</f>
        <v>20960</v>
      </c>
    </row>
    <row r="52" spans="1:2" s="1593" customFormat="1">
      <c r="A52" s="1591" t="s">
        <v>1246</v>
      </c>
      <c r="B52" s="1592">
        <f ca="1">'预评函-3'!G4</f>
        <v>1086</v>
      </c>
    </row>
    <row r="53" spans="1:2" s="1593" customFormat="1">
      <c r="A53" s="1591" t="s">
        <v>1274</v>
      </c>
      <c r="B53" s="1592" t="str">
        <f ca="1">'预评函-3'!F5</f>
        <v>贰亿零玖佰陆拾万元整</v>
      </c>
    </row>
    <row r="54" spans="1:2" s="1593" customFormat="1">
      <c r="A54" s="1591" t="s">
        <v>1292</v>
      </c>
      <c r="B54" s="1592" t="str">
        <f>'预评函-3'!A8</f>
        <v>房地产抵押价值</v>
      </c>
    </row>
    <row r="55" spans="1:2" s="1593" customFormat="1">
      <c r="A55" s="1591" t="s">
        <v>1275</v>
      </c>
      <c r="B55" s="1592" t="str">
        <f>'预评函-3'!A10</f>
        <v>抵押担保权已注销时的房地产抵押价值</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郑燚</v>
      </c>
    </row>
    <row r="71" spans="1:2">
      <c r="A71" s="1591" t="s">
        <v>1257</v>
      </c>
      <c r="B71" s="1592">
        <f ca="1">'预评函-4'!B4</f>
        <v>1120070131</v>
      </c>
    </row>
    <row r="72" spans="1:2">
      <c r="A72" s="1591" t="s">
        <v>1258</v>
      </c>
      <c r="B72" s="1600" t="str">
        <f>'预评函-4'!A5</f>
        <v>王鹏</v>
      </c>
    </row>
    <row r="73" spans="1:2" s="1587" customFormat="1" ht="15" thickBot="1">
      <c r="A73" s="1594" t="s">
        <v>1259</v>
      </c>
      <c r="B73" s="1595">
        <f ca="1">'预评函-4'!B5</f>
        <v>1120050019</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8" sqref="B18:B22"/>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1686</v>
      </c>
      <c r="C1" s="2009" t="s">
        <v>759</v>
      </c>
      <c r="D1" s="2010" t="s">
        <v>1687</v>
      </c>
      <c r="E1" s="2010" t="s">
        <v>1688</v>
      </c>
      <c r="F1" s="2010" t="s">
        <v>1689</v>
      </c>
      <c r="G1" s="2010" t="s">
        <v>1690</v>
      </c>
      <c r="H1" s="2010" t="s">
        <v>1691</v>
      </c>
      <c r="I1" s="2010" t="s">
        <v>1692</v>
      </c>
      <c r="J1" s="2010" t="s">
        <v>1693</v>
      </c>
      <c r="K1" s="2010" t="s">
        <v>1694</v>
      </c>
      <c r="L1" s="2010" t="s">
        <v>1695</v>
      </c>
      <c r="M1" s="2010" t="s">
        <v>1696</v>
      </c>
      <c r="N1" s="2010" t="s">
        <v>1697</v>
      </c>
      <c r="O1" s="2010" t="s">
        <v>1698</v>
      </c>
      <c r="P1" s="2011" t="s">
        <v>753</v>
      </c>
      <c r="Q1" s="2011" t="s">
        <v>1141</v>
      </c>
      <c r="R1" s="2010" t="s">
        <v>1135</v>
      </c>
      <c r="S1" s="2010" t="s">
        <v>1699</v>
      </c>
      <c r="T1" s="2012" t="s">
        <v>1700</v>
      </c>
      <c r="U1" s="2010" t="s">
        <v>1701</v>
      </c>
      <c r="V1" s="2010" t="s">
        <v>1702</v>
      </c>
      <c r="W1" s="2010" t="s">
        <v>755</v>
      </c>
    </row>
    <row r="2" spans="1:23">
      <c r="A2" s="2014" t="s">
        <v>22</v>
      </c>
      <c r="B2" s="2014" t="s">
        <v>1703</v>
      </c>
      <c r="C2" s="2015" t="s">
        <v>760</v>
      </c>
      <c r="D2" s="2016" t="s">
        <v>1704</v>
      </c>
      <c r="E2" s="2016" t="s">
        <v>1705</v>
      </c>
      <c r="F2" s="2016" t="s">
        <v>1706</v>
      </c>
      <c r="G2" s="2016">
        <v>40</v>
      </c>
      <c r="H2" s="2016" t="s">
        <v>1706</v>
      </c>
      <c r="I2" s="2016" t="s">
        <v>1707</v>
      </c>
      <c r="J2" s="2016" t="s">
        <v>1708</v>
      </c>
      <c r="K2" s="2016" t="s">
        <v>1709</v>
      </c>
      <c r="L2" s="2016" t="s">
        <v>1709</v>
      </c>
      <c r="M2" s="2016" t="s">
        <v>1709</v>
      </c>
      <c r="N2" s="2016" t="s">
        <v>1709</v>
      </c>
      <c r="O2" s="2016" t="s">
        <v>1709</v>
      </c>
      <c r="P2" s="2016" t="s">
        <v>1709</v>
      </c>
      <c r="Q2" s="2016" t="s">
        <v>1709</v>
      </c>
      <c r="R2" s="2016" t="s">
        <v>1137</v>
      </c>
      <c r="S2" s="2016" t="s">
        <v>1709</v>
      </c>
      <c r="T2" s="2016" t="s">
        <v>1710</v>
      </c>
      <c r="U2" s="2016" t="s">
        <v>1709</v>
      </c>
      <c r="V2" s="2016" t="s">
        <v>1711</v>
      </c>
      <c r="W2" s="2016" t="s">
        <v>1709</v>
      </c>
    </row>
    <row r="3" spans="1:23">
      <c r="A3" s="2014" t="s">
        <v>1712</v>
      </c>
      <c r="B3" s="2017" t="s">
        <v>1142</v>
      </c>
      <c r="C3" s="2018" t="s">
        <v>761</v>
      </c>
      <c r="D3" s="2016" t="s">
        <v>1713</v>
      </c>
      <c r="E3" s="2016" t="s">
        <v>16</v>
      </c>
      <c r="F3" s="2016" t="s">
        <v>1714</v>
      </c>
      <c r="G3" s="2016">
        <v>50</v>
      </c>
      <c r="H3" s="2016" t="s">
        <v>1714</v>
      </c>
      <c r="I3" s="2016" t="s">
        <v>1715</v>
      </c>
      <c r="J3" s="2016" t="s">
        <v>1716</v>
      </c>
      <c r="K3" s="2016" t="s">
        <v>1717</v>
      </c>
      <c r="L3" s="2016" t="s">
        <v>1717</v>
      </c>
      <c r="M3" s="2016" t="s">
        <v>1717</v>
      </c>
      <c r="N3" s="2016" t="s">
        <v>1717</v>
      </c>
      <c r="O3" s="2016" t="s">
        <v>1717</v>
      </c>
      <c r="P3" s="2016" t="s">
        <v>1717</v>
      </c>
      <c r="Q3" s="2016" t="s">
        <v>1717</v>
      </c>
      <c r="R3" s="2016" t="s">
        <v>1136</v>
      </c>
      <c r="S3" s="2016" t="s">
        <v>1717</v>
      </c>
      <c r="T3" s="2016" t="s">
        <v>1718</v>
      </c>
      <c r="U3" s="2016" t="s">
        <v>1717</v>
      </c>
      <c r="V3" s="2016" t="s">
        <v>1719</v>
      </c>
      <c r="W3" s="2016" t="s">
        <v>1717</v>
      </c>
    </row>
    <row r="4" spans="1:23">
      <c r="A4" s="2014" t="s">
        <v>1720</v>
      </c>
      <c r="B4" s="2014" t="s">
        <v>1721</v>
      </c>
      <c r="C4" s="2015" t="s">
        <v>762</v>
      </c>
      <c r="D4" s="2016" t="s">
        <v>865</v>
      </c>
      <c r="E4" s="2016" t="s">
        <v>1722</v>
      </c>
      <c r="F4" s="2016" t="s">
        <v>1723</v>
      </c>
      <c r="G4" s="2016">
        <v>70</v>
      </c>
      <c r="H4" s="2016" t="s">
        <v>1723</v>
      </c>
      <c r="I4" s="2016" t="s">
        <v>1724</v>
      </c>
      <c r="K4" s="2016" t="s">
        <v>1725</v>
      </c>
      <c r="L4" s="2016" t="s">
        <v>1725</v>
      </c>
      <c r="M4" s="2016" t="s">
        <v>1725</v>
      </c>
      <c r="N4" s="2016" t="s">
        <v>1725</v>
      </c>
      <c r="O4" s="2016" t="s">
        <v>1725</v>
      </c>
      <c r="P4" s="2016" t="s">
        <v>1725</v>
      </c>
      <c r="Q4" s="2016" t="s">
        <v>1725</v>
      </c>
      <c r="R4" s="2016" t="s">
        <v>1138</v>
      </c>
      <c r="S4" s="2016" t="s">
        <v>1725</v>
      </c>
      <c r="T4" s="2016" t="s">
        <v>1726</v>
      </c>
      <c r="U4" s="2016" t="s">
        <v>1725</v>
      </c>
      <c r="W4" s="2016" t="s">
        <v>1725</v>
      </c>
    </row>
    <row r="5" spans="1:23">
      <c r="A5" s="2014" t="s">
        <v>1727</v>
      </c>
      <c r="B5" s="2014" t="s">
        <v>1728</v>
      </c>
      <c r="C5" s="2015" t="s">
        <v>763</v>
      </c>
      <c r="F5" s="2016" t="s">
        <v>1729</v>
      </c>
      <c r="H5" s="2016" t="s">
        <v>1730</v>
      </c>
      <c r="I5" s="2016" t="s">
        <v>1731</v>
      </c>
      <c r="K5" s="2016" t="s">
        <v>1732</v>
      </c>
      <c r="L5" s="2016" t="s">
        <v>1732</v>
      </c>
      <c r="M5" s="2016" t="s">
        <v>1732</v>
      </c>
      <c r="N5" s="2016" t="s">
        <v>1732</v>
      </c>
      <c r="O5" s="2016" t="s">
        <v>1732</v>
      </c>
      <c r="P5" s="2016" t="s">
        <v>1732</v>
      </c>
      <c r="Q5" s="2016" t="s">
        <v>1732</v>
      </c>
      <c r="R5" s="2016" t="s">
        <v>1139</v>
      </c>
      <c r="S5" s="2016" t="s">
        <v>1732</v>
      </c>
      <c r="T5" s="2016" t="s">
        <v>1733</v>
      </c>
      <c r="U5" s="2016" t="s">
        <v>1732</v>
      </c>
      <c r="W5" s="2016" t="s">
        <v>1732</v>
      </c>
    </row>
    <row r="6" spans="1:23">
      <c r="A6" s="2014" t="s">
        <v>1734</v>
      </c>
      <c r="B6" s="2017" t="s">
        <v>1143</v>
      </c>
      <c r="C6" s="2020" t="s">
        <v>30</v>
      </c>
      <c r="F6" s="2016" t="s">
        <v>1730</v>
      </c>
      <c r="H6" s="2016" t="s">
        <v>1735</v>
      </c>
      <c r="I6" s="2016" t="s">
        <v>1736</v>
      </c>
      <c r="K6" s="2016" t="s">
        <v>1737</v>
      </c>
      <c r="L6" s="2016" t="s">
        <v>1737</v>
      </c>
      <c r="M6" s="2016" t="s">
        <v>1737</v>
      </c>
      <c r="N6" s="2016" t="s">
        <v>1737</v>
      </c>
      <c r="O6" s="2016" t="s">
        <v>1737</v>
      </c>
      <c r="P6" s="2016" t="s">
        <v>1737</v>
      </c>
      <c r="Q6" s="2016" t="s">
        <v>1737</v>
      </c>
      <c r="R6" s="2016" t="s">
        <v>1140</v>
      </c>
      <c r="S6" s="2016" t="s">
        <v>1737</v>
      </c>
      <c r="T6" s="2016"/>
      <c r="U6" s="2016" t="s">
        <v>1737</v>
      </c>
      <c r="W6" s="2016" t="s">
        <v>1737</v>
      </c>
    </row>
    <row r="7" spans="1:23">
      <c r="A7" s="2014" t="s">
        <v>1738</v>
      </c>
      <c r="B7" s="2017" t="s">
        <v>1144</v>
      </c>
      <c r="C7" s="2015" t="s">
        <v>31</v>
      </c>
      <c r="F7" s="2016" t="s">
        <v>1739</v>
      </c>
      <c r="H7" s="2016" t="s">
        <v>1740</v>
      </c>
      <c r="I7" s="2016" t="s">
        <v>1741</v>
      </c>
    </row>
    <row r="8" spans="1:23">
      <c r="A8" s="2014" t="s">
        <v>1742</v>
      </c>
      <c r="B8" s="2014" t="s">
        <v>1743</v>
      </c>
      <c r="C8" s="2015" t="s">
        <v>764</v>
      </c>
      <c r="F8" s="2016" t="s">
        <v>1744</v>
      </c>
      <c r="H8" s="2016"/>
      <c r="I8" s="2016" t="s">
        <v>1745</v>
      </c>
    </row>
    <row r="9" spans="1:23">
      <c r="A9" s="2014" t="s">
        <v>1746</v>
      </c>
      <c r="B9" s="2014" t="s">
        <v>1747</v>
      </c>
      <c r="C9" s="2015" t="s">
        <v>765</v>
      </c>
      <c r="F9" s="2016" t="s">
        <v>1748</v>
      </c>
      <c r="H9" s="2016"/>
    </row>
    <row r="10" spans="1:23">
      <c r="A10" s="2014" t="s">
        <v>1749</v>
      </c>
      <c r="B10" s="2014" t="s">
        <v>1750</v>
      </c>
      <c r="C10" s="2015" t="s">
        <v>766</v>
      </c>
      <c r="F10" s="2016" t="s">
        <v>16</v>
      </c>
    </row>
    <row r="11" spans="1:23">
      <c r="A11" s="2014" t="s">
        <v>1751</v>
      </c>
      <c r="B11" s="2014" t="s">
        <v>1752</v>
      </c>
      <c r="C11" s="2015" t="s">
        <v>767</v>
      </c>
    </row>
    <row r="12" spans="1:23">
      <c r="A12" s="2014" t="s">
        <v>1753</v>
      </c>
      <c r="B12" s="2014" t="s">
        <v>1754</v>
      </c>
      <c r="C12" s="2015" t="s">
        <v>768</v>
      </c>
    </row>
    <row r="13" spans="1:23">
      <c r="A13" s="2014" t="s">
        <v>1755</v>
      </c>
      <c r="B13" s="2014" t="s">
        <v>1756</v>
      </c>
      <c r="C13" s="2015" t="s">
        <v>769</v>
      </c>
    </row>
    <row r="14" spans="1:23">
      <c r="A14" s="2014" t="s">
        <v>1757</v>
      </c>
      <c r="B14" s="2014" t="s">
        <v>1758</v>
      </c>
      <c r="C14" s="2016" t="s">
        <v>16</v>
      </c>
    </row>
    <row r="15" spans="1:23">
      <c r="A15" s="2014" t="s">
        <v>1759</v>
      </c>
      <c r="B15" s="2014" t="s">
        <v>1760</v>
      </c>
      <c r="C15" s="2015"/>
    </row>
    <row r="16" spans="1:23">
      <c r="A16" s="2014" t="s">
        <v>1761</v>
      </c>
      <c r="B16" s="2014" t="s">
        <v>756</v>
      </c>
      <c r="C16" s="2015"/>
    </row>
    <row r="17" spans="1:3">
      <c r="A17" s="2014" t="s">
        <v>1762</v>
      </c>
      <c r="B17" s="2014" t="s">
        <v>757</v>
      </c>
      <c r="C17" s="2015"/>
    </row>
    <row r="18" spans="1:3">
      <c r="A18" s="2014" t="s">
        <v>1763</v>
      </c>
      <c r="B18" s="2014" t="s">
        <v>3293</v>
      </c>
      <c r="C18" s="2015"/>
    </row>
    <row r="19" spans="1:3">
      <c r="A19" s="2014" t="s">
        <v>1764</v>
      </c>
      <c r="B19" s="2014" t="s">
        <v>3294</v>
      </c>
      <c r="C19" s="2015"/>
    </row>
    <row r="20" spans="1:3">
      <c r="A20" s="2014" t="s">
        <v>1765</v>
      </c>
      <c r="B20" s="2014" t="s">
        <v>3295</v>
      </c>
      <c r="C20" s="2015"/>
    </row>
    <row r="21" spans="1:3">
      <c r="A21" s="2014" t="s">
        <v>1766</v>
      </c>
      <c r="B21" s="2014" t="s">
        <v>757</v>
      </c>
      <c r="C21" s="2015"/>
    </row>
    <row r="22" spans="1:3">
      <c r="A22" s="2014" t="s">
        <v>1767</v>
      </c>
      <c r="B22" s="2014" t="s">
        <v>757</v>
      </c>
      <c r="C22" s="2015"/>
    </row>
    <row r="23" spans="1:3">
      <c r="A23" s="2014" t="s">
        <v>1768</v>
      </c>
      <c r="B23" s="2014" t="s">
        <v>757</v>
      </c>
      <c r="C23" s="2015"/>
    </row>
    <row r="24" spans="1:3">
      <c r="A24" s="2014" t="s">
        <v>1769</v>
      </c>
      <c r="B24" s="2014" t="s">
        <v>757</v>
      </c>
      <c r="C24" s="2015"/>
    </row>
    <row r="25" spans="1:3">
      <c r="A25" s="2014" t="s">
        <v>1770</v>
      </c>
      <c r="B25" s="2014" t="s">
        <v>757</v>
      </c>
      <c r="C25" s="2015"/>
    </row>
    <row r="26" spans="1:3">
      <c r="A26" s="2014" t="s">
        <v>1771</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为估价委托人在向五矿国际信托有限公司办理贷款手续过程中，确定房地产抵押贷款额度提供参考依据而评估房地产抵押价值。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深圳市中住汇智实业有限公司拟使用广东省深圳市龙岗区布吉镇沙湾“百门前工业区”工业项目局部房地产作为抵押担保物，向五矿国际信托有限公司办理贷款手续。五矿国际信托有限公司特委托北京康正宏基房地产评估有限公司对上述抵押物进行评估。本次评估为确定房地产抵押贷款额度提供参考依据而评估房地产抵押价值。</v>
      </c>
      <c r="D51" s="2022" t="s">
        <v>1280</v>
      </c>
    </row>
    <row r="52" spans="1:4">
      <c r="A52" s="2021" t="s">
        <v>855</v>
      </c>
      <c r="B52" s="2021" t="s">
        <v>856</v>
      </c>
      <c r="C52" s="2019" t="s">
        <v>857</v>
      </c>
      <c r="D52" s="2019" t="s">
        <v>858</v>
      </c>
    </row>
    <row r="53" spans="1:4">
      <c r="A53" s="3181"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20日，估价对象规划用途为工业22.76年土地取得方式为出让，出让国有建设用地使用权剩余土地使用年限为XX年(多用途剩余年限尾数不同时，可只体现小数点后一位)，假定未设立法定优先受偿款下的房地产市场价值。</v>
      </c>
    </row>
    <row r="54" spans="1:4">
      <c r="A54" s="3181"/>
      <c r="B54" s="2022" t="s">
        <v>861</v>
      </c>
      <c r="C54" s="2019" t="s">
        <v>1277</v>
      </c>
    </row>
    <row r="55" spans="1:4">
      <c r="A55" s="3181"/>
      <c r="B55" s="2022" t="s">
        <v>862</v>
      </c>
      <c r="C55" s="2019" t="s">
        <v>1278</v>
      </c>
    </row>
    <row r="56" spans="1:4">
      <c r="A56" s="3181"/>
      <c r="B56" s="2022" t="s">
        <v>863</v>
      </c>
      <c r="C56" s="2019" t="s">
        <v>1282</v>
      </c>
    </row>
    <row r="57" spans="1:4">
      <c r="A57" s="3181"/>
      <c r="B57" s="2022" t="s">
        <v>864</v>
      </c>
      <c r="C57" s="2019" t="s">
        <v>1279</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L8" sqref="L8"/>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6" customWidth="1"/>
    <col min="10" max="10" width="10" style="2032" customWidth="1"/>
    <col min="11" max="11" width="10" style="2157" customWidth="1"/>
    <col min="12" max="13" width="10" style="2158" customWidth="1"/>
    <col min="14" max="14" width="10" style="2032" customWidth="1"/>
    <col min="15" max="15" width="10" style="2156" customWidth="1"/>
    <col min="16" max="17" width="10" style="2032"/>
    <col min="18" max="18" width="10" style="2032" customWidth="1"/>
    <col min="19" max="16384" width="10" style="2032"/>
  </cols>
  <sheetData>
    <row r="1" spans="1:19" ht="38.25" customHeight="1" thickBot="1">
      <c r="A1" s="2025" t="s">
        <v>1772</v>
      </c>
      <c r="B1" s="3182" t="str">
        <f>IF(B10="北京市","北京市",C10)&amp;F10&amp;IF(结果表!G1="在建","出让国有建设用地使用权及在建建筑物",IF(结果表!G1="土地","出让国有建设用地使用权",))&amp;B9&amp;"预评估"</f>
        <v>广东省深圳市龙岗区布吉镇沙湾“百门前工业区”工业项目局部房地产抵押价值预评估</v>
      </c>
      <c r="C1" s="3183"/>
      <c r="D1" s="3183"/>
      <c r="E1" s="3183"/>
      <c r="F1" s="3183"/>
      <c r="G1" s="3183"/>
      <c r="H1" s="3183"/>
      <c r="I1" s="3184"/>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广东省深圳市龙岗区布吉镇沙湾“百门前工业区”工业项目局部房地产抵押价值</v>
      </c>
    </row>
    <row r="2" spans="1:19" ht="18" customHeight="1">
      <c r="A2" s="2026" t="s">
        <v>1773</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广东省深圳市龙岗区布吉镇沙湾“百门前工业区”工业项目局部房地产</v>
      </c>
    </row>
    <row r="3" spans="1:19" ht="18" customHeight="1">
      <c r="A3" s="2035" t="s">
        <v>1774</v>
      </c>
      <c r="B3" s="2036">
        <v>43544</v>
      </c>
      <c r="C3" s="2037" t="s">
        <v>1775</v>
      </c>
      <c r="D3" s="2036">
        <f>B3</f>
        <v>43544</v>
      </c>
      <c r="E3" s="2026"/>
      <c r="F3" s="2026"/>
      <c r="G3" s="2026"/>
      <c r="H3" s="2026"/>
      <c r="I3" s="2026"/>
      <c r="J3" s="2026"/>
      <c r="K3" s="2027"/>
      <c r="L3" s="2028"/>
      <c r="M3" s="2028"/>
      <c r="N3" s="2029"/>
      <c r="O3" s="2030"/>
      <c r="P3" s="2029"/>
      <c r="Q3" s="2029"/>
      <c r="R3" s="2029"/>
      <c r="S3" s="2031"/>
    </row>
    <row r="4" spans="1:19" ht="18" customHeight="1" thickBot="1">
      <c r="A4" s="2038" t="s">
        <v>1776</v>
      </c>
      <c r="B4" s="2039" t="s">
        <v>3266</v>
      </c>
      <c r="C4" s="1037">
        <f ca="1">SUMIF(注册房地产估价师,B4,估价师及机构信息!B3:B24)</f>
        <v>1120070131</v>
      </c>
      <c r="D4" s="2039" t="s">
        <v>3267</v>
      </c>
      <c r="E4" s="1038">
        <f ca="1">SUMIF(注册房地产估价师,D4,估价师及机构信息!B3:B24)</f>
        <v>1120050019</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郑燚（注册号：1120070131)、王鹏（注册号：1120050019)</v>
      </c>
      <c r="L4" s="2028"/>
      <c r="M4" s="2028"/>
      <c r="N4" s="2029"/>
      <c r="O4" s="2030"/>
      <c r="P4" s="2029"/>
      <c r="Q4" s="2029"/>
      <c r="R4" s="2029"/>
      <c r="S4" s="2031"/>
    </row>
    <row r="5" spans="1:19" ht="18" customHeight="1" thickTop="1">
      <c r="A5" s="2044" t="s">
        <v>1777</v>
      </c>
      <c r="B5" s="2045" t="str">
        <f>B6</f>
        <v>五矿国际信托有限公司</v>
      </c>
      <c r="C5" s="2046"/>
      <c r="D5" s="2047"/>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8" t="s">
        <v>1778</v>
      </c>
      <c r="B6" s="2967" t="s">
        <v>3268</v>
      </c>
      <c r="C6" s="2049"/>
      <c r="D6" s="2050"/>
      <c r="E6" s="2034"/>
      <c r="F6" s="2042"/>
      <c r="G6" s="2042"/>
      <c r="H6" s="2042"/>
      <c r="I6" s="2042"/>
      <c r="J6" s="2042"/>
      <c r="K6" s="2051" t="str">
        <f>IF(COUNTIF(B6,"*上海银行*"),"上海银行","")</f>
        <v/>
      </c>
      <c r="L6" s="2028"/>
      <c r="M6" s="2028"/>
      <c r="N6" s="2029"/>
      <c r="O6" s="2030"/>
      <c r="P6" s="2029"/>
      <c r="Q6" s="2029"/>
      <c r="R6" s="2029"/>
    </row>
    <row r="7" spans="1:19" ht="18" customHeight="1">
      <c r="A7" s="2048" t="s">
        <v>1779</v>
      </c>
      <c r="B7" s="2052" t="str">
        <f>C11</f>
        <v>深圳市中住汇智实业有限公司</v>
      </c>
      <c r="C7" s="2049"/>
      <c r="D7" s="2050"/>
      <c r="E7" s="2034"/>
      <c r="F7" s="2042"/>
      <c r="G7" s="2042"/>
      <c r="H7" s="2042"/>
      <c r="I7" s="2042"/>
      <c r="J7" s="2042"/>
      <c r="K7" s="2053"/>
      <c r="L7" s="2028"/>
      <c r="M7" s="2028"/>
      <c r="N7" s="2029"/>
      <c r="O7" s="2030"/>
      <c r="P7" s="2029"/>
      <c r="Q7" s="2029"/>
      <c r="R7" s="2029"/>
    </row>
    <row r="8" spans="1:19" ht="18" customHeight="1">
      <c r="A8" s="2048" t="s">
        <v>1780</v>
      </c>
      <c r="B8" s="2054" t="s">
        <v>3274</v>
      </c>
      <c r="C8" s="2055"/>
      <c r="D8" s="3185" t="s">
        <v>1781</v>
      </c>
      <c r="E8" s="2056" t="s">
        <v>3276</v>
      </c>
      <c r="F8" s="2057"/>
      <c r="G8" s="2026"/>
      <c r="H8" s="2026"/>
      <c r="I8" s="2026"/>
      <c r="J8" s="2042"/>
      <c r="K8" s="2043"/>
      <c r="L8" s="2028"/>
      <c r="M8" s="2028"/>
      <c r="N8" s="2029"/>
      <c r="O8" s="2030"/>
      <c r="P8" s="2029"/>
      <c r="Q8" s="2029"/>
      <c r="R8" s="2029"/>
    </row>
    <row r="9" spans="1:19" ht="18" customHeight="1" thickBot="1">
      <c r="A9" s="2040" t="s">
        <v>1782</v>
      </c>
      <c r="B9" s="2058" t="s">
        <v>3275</v>
      </c>
      <c r="C9" s="2059"/>
      <c r="D9" s="3186"/>
      <c r="E9" s="2058"/>
      <c r="F9" s="2060"/>
      <c r="G9" s="2061"/>
      <c r="H9" s="2061"/>
      <c r="I9" s="2061"/>
      <c r="J9" s="2042"/>
      <c r="K9" s="2053"/>
      <c r="L9" s="2028"/>
      <c r="M9" s="2028"/>
      <c r="N9" s="2029"/>
      <c r="O9" s="2030"/>
      <c r="P9" s="2029"/>
      <c r="Q9" s="2029"/>
      <c r="R9" s="2029"/>
    </row>
    <row r="10" spans="1:19" ht="18" customHeight="1" thickTop="1">
      <c r="A10" s="2062" t="s">
        <v>1783</v>
      </c>
      <c r="B10" s="2063" t="s">
        <v>3272</v>
      </c>
      <c r="C10" s="2968" t="s">
        <v>3269</v>
      </c>
      <c r="D10" s="2047"/>
      <c r="E10" s="2064" t="s">
        <v>1784</v>
      </c>
      <c r="F10" s="2970" t="s">
        <v>3271</v>
      </c>
      <c r="G10" s="2065"/>
      <c r="H10" s="2066"/>
      <c r="I10" s="2047"/>
      <c r="J10" s="2042"/>
      <c r="K10" s="2053"/>
      <c r="L10" s="2028"/>
      <c r="M10" s="2028"/>
      <c r="N10" s="2029"/>
      <c r="O10" s="2030"/>
      <c r="P10" s="2029"/>
      <c r="Q10" s="2029"/>
      <c r="R10" s="2029"/>
    </row>
    <row r="11" spans="1:19" ht="18" customHeight="1">
      <c r="A11" s="2067" t="s">
        <v>1785</v>
      </c>
      <c r="B11" s="2068" t="s">
        <v>3273</v>
      </c>
      <c r="C11" s="2969" t="s">
        <v>3270</v>
      </c>
      <c r="D11" s="2069"/>
      <c r="E11" s="2042"/>
      <c r="F11" s="2042"/>
      <c r="G11" s="2042"/>
      <c r="H11" s="2042"/>
      <c r="I11" s="2042"/>
      <c r="J11" s="2042"/>
      <c r="K11" s="2053"/>
      <c r="L11" s="2028"/>
      <c r="M11" s="2028"/>
      <c r="N11" s="2029"/>
      <c r="O11" s="2030"/>
      <c r="P11" s="2029"/>
      <c r="Q11" s="2029"/>
      <c r="R11" s="2029"/>
    </row>
    <row r="12" spans="1:19" ht="18" customHeight="1">
      <c r="A12" s="2070" t="s">
        <v>1786</v>
      </c>
      <c r="B12" s="2068" t="s">
        <v>3277</v>
      </c>
      <c r="C12" s="2071" t="s">
        <v>1787</v>
      </c>
      <c r="D12" s="2072" t="s">
        <v>1788</v>
      </c>
      <c r="E12" s="2072" t="s">
        <v>1789</v>
      </c>
      <c r="F12" s="2072" t="s">
        <v>1790</v>
      </c>
      <c r="G12" s="2072" t="s">
        <v>1791</v>
      </c>
      <c r="H12" s="2072" t="s">
        <v>1792</v>
      </c>
      <c r="I12" s="2072" t="s">
        <v>1793</v>
      </c>
      <c r="J12" s="2042"/>
      <c r="K12" s="2053"/>
      <c r="L12" s="2028"/>
      <c r="M12" s="2028"/>
      <c r="N12" s="2029"/>
      <c r="O12" s="2030"/>
      <c r="P12" s="2029"/>
      <c r="Q12" s="2029"/>
      <c r="R12" s="2029"/>
    </row>
    <row r="13" spans="1:19" ht="18" customHeight="1">
      <c r="A13" s="2073"/>
      <c r="B13" s="2074"/>
      <c r="C13" s="2075" t="s">
        <v>1794</v>
      </c>
      <c r="D13" s="2076"/>
      <c r="E13" s="2076"/>
      <c r="F13" s="2076"/>
      <c r="G13" s="2076"/>
      <c r="H13" s="2076"/>
      <c r="I13" s="1047">
        <v>51854</v>
      </c>
      <c r="J13" s="2042"/>
      <c r="K13" s="2053"/>
      <c r="L13" s="2028"/>
      <c r="M13" s="2028"/>
      <c r="N13" s="2029"/>
      <c r="O13" s="2030"/>
      <c r="P13" s="2029"/>
      <c r="Q13" s="2029"/>
      <c r="R13" s="2029"/>
    </row>
    <row r="14" spans="1:19" ht="18" customHeight="1">
      <c r="A14" s="2073"/>
      <c r="B14" s="2074"/>
      <c r="C14" s="2075" t="s">
        <v>1795</v>
      </c>
      <c r="D14" s="1050"/>
      <c r="E14" s="1050"/>
      <c r="F14" s="1050"/>
      <c r="G14" s="1050"/>
      <c r="H14" s="1050"/>
      <c r="I14" s="1050">
        <v>50</v>
      </c>
      <c r="J14" s="2042"/>
      <c r="K14" s="2077"/>
      <c r="L14" s="2028"/>
      <c r="M14" s="2028"/>
      <c r="N14" s="2029"/>
      <c r="O14" s="2030"/>
      <c r="P14" s="2029"/>
      <c r="Q14" s="2029"/>
      <c r="R14" s="2029"/>
    </row>
    <row r="15" spans="1:19" ht="18" customHeight="1">
      <c r="A15" s="2062"/>
      <c r="B15" s="2078"/>
      <c r="C15" s="2075" t="s">
        <v>1796</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22.76</v>
      </c>
      <c r="J15" s="2042"/>
      <c r="K15" s="2079"/>
      <c r="L15" s="2080"/>
      <c r="M15" s="2080"/>
      <c r="N15" s="2081"/>
      <c r="O15" s="2080"/>
      <c r="P15" s="2081"/>
      <c r="Q15" s="2029"/>
      <c r="R15" s="2029"/>
    </row>
    <row r="16" spans="1:19" ht="30.75" customHeight="1">
      <c r="A16" s="2064" t="s">
        <v>1797</v>
      </c>
      <c r="B16" s="3192" t="s">
        <v>3278</v>
      </c>
      <c r="C16" s="3193"/>
      <c r="D16" s="3194"/>
      <c r="E16" s="2082" t="s">
        <v>1798</v>
      </c>
      <c r="F16" s="3195" t="str">
        <f>B16</f>
        <v>工业22.76年</v>
      </c>
      <c r="G16" s="3196"/>
      <c r="H16" s="3196"/>
      <c r="I16" s="3197"/>
      <c r="J16" s="2029"/>
      <c r="K16" s="2079"/>
      <c r="L16" s="2080"/>
      <c r="M16" s="2080"/>
      <c r="N16" s="2081"/>
      <c r="O16" s="2080"/>
      <c r="P16" s="2081"/>
      <c r="Q16" s="2029"/>
      <c r="R16" s="2029"/>
    </row>
    <row r="17" spans="1:22" ht="18" customHeight="1">
      <c r="A17" s="2083" t="s">
        <v>1799</v>
      </c>
      <c r="B17" s="2035" t="s">
        <v>1800</v>
      </c>
      <c r="C17" s="1054">
        <f>'数据-汇总表'!E3</f>
        <v>193040.62000000002</v>
      </c>
      <c r="D17" s="2084" t="s">
        <v>1801</v>
      </c>
      <c r="E17" s="3198"/>
      <c r="F17" s="3199"/>
      <c r="G17" s="3199"/>
      <c r="H17" s="3199"/>
      <c r="I17" s="3200"/>
      <c r="J17" s="2029"/>
      <c r="K17" s="2085"/>
      <c r="L17" s="2080"/>
      <c r="M17" s="2080"/>
      <c r="N17" s="2081"/>
      <c r="O17" s="2080"/>
      <c r="P17" s="2081"/>
      <c r="Q17" s="2029"/>
      <c r="R17" s="2029"/>
      <c r="S17" s="2029"/>
      <c r="T17" s="2029"/>
      <c r="U17" s="2029"/>
      <c r="V17" s="2029"/>
    </row>
    <row r="18" spans="1:22" ht="36" customHeight="1" thickBot="1">
      <c r="A18" s="2086" t="s">
        <v>1802</v>
      </c>
      <c r="B18" s="2038" t="s">
        <v>1803</v>
      </c>
      <c r="C18" s="1444">
        <f>'数据-汇总表'!D3</f>
        <v>95897.74</v>
      </c>
      <c r="D18" s="2087" t="s">
        <v>1801</v>
      </c>
      <c r="E18" s="3201" t="s">
        <v>3279</v>
      </c>
      <c r="F18" s="3202"/>
      <c r="G18" s="3202"/>
      <c r="H18" s="3202"/>
      <c r="I18" s="3203"/>
      <c r="J18" s="2029"/>
      <c r="K18" s="2085"/>
      <c r="L18" s="2080"/>
      <c r="M18" s="2080"/>
      <c r="N18" s="2081"/>
      <c r="O18" s="2080"/>
      <c r="P18" s="2081"/>
      <c r="Q18" s="2029"/>
      <c r="R18" s="2029"/>
      <c r="S18" s="2029"/>
      <c r="T18" s="2029"/>
      <c r="U18" s="2029"/>
      <c r="V18" s="2029"/>
    </row>
    <row r="19" spans="1:22" ht="37.5" customHeight="1" thickTop="1" thickBot="1">
      <c r="A19" s="373" t="s">
        <v>1804</v>
      </c>
      <c r="B19" s="352" t="s">
        <v>1805</v>
      </c>
      <c r="C19" s="2088" t="s">
        <v>3052</v>
      </c>
      <c r="D19" s="2089" t="s">
        <v>1806</v>
      </c>
      <c r="E19" s="2090" t="s">
        <v>3280</v>
      </c>
      <c r="F19" s="2091" t="str">
        <f>IF(AND(C19="是",E19="否"),"是否提供他项权证或相关说明","")</f>
        <v>是否提供他项权证或相关说明</v>
      </c>
      <c r="G19" s="2092" t="s">
        <v>3280</v>
      </c>
      <c r="H19" s="2042"/>
      <c r="I19" s="2042"/>
      <c r="J19" s="2042"/>
      <c r="K19" s="2053"/>
      <c r="L19" s="2028"/>
      <c r="M19" s="2028"/>
      <c r="N19" s="2081"/>
      <c r="O19" s="2080"/>
      <c r="P19" s="2081"/>
      <c r="Q19" s="2029"/>
      <c r="R19" s="2029"/>
      <c r="S19" s="2029"/>
      <c r="T19" s="2029"/>
      <c r="U19" s="2029"/>
      <c r="V19" s="2029"/>
    </row>
    <row r="20" spans="1:22" ht="18" customHeight="1">
      <c r="A20" s="2093" t="s">
        <v>1807</v>
      </c>
      <c r="B20" s="3188" t="s">
        <v>1808</v>
      </c>
      <c r="C20" s="3189"/>
      <c r="D20" s="3190" t="s">
        <v>1809</v>
      </c>
      <c r="E20" s="3191"/>
      <c r="F20" s="2094" t="s">
        <v>1810</v>
      </c>
      <c r="G20" s="2042"/>
      <c r="H20" s="2042"/>
      <c r="I20" s="2042"/>
      <c r="J20" s="2042"/>
      <c r="K20" s="3187" t="s">
        <v>1811</v>
      </c>
      <c r="L20" s="748" t="str">
        <f>"根据估价对象"&amp;IF(B22="——",B21&amp;C21,B21&amp;C21&amp;"、"&amp;B22&amp;C22)&amp;"，"&amp;IF(C19="是","截至价值时点，估价对象已设定抵押。","截至价值时点，估价对象抵押权未见登记。")</f>
        <v>根据估价对象《房屋所有权证》复印件、，截至价值时点，估价对象已设定抵押。</v>
      </c>
      <c r="M20" s="2028"/>
      <c r="N20" s="2081"/>
      <c r="O20" s="2080"/>
      <c r="P20" s="2081"/>
      <c r="Q20" s="2029"/>
      <c r="R20" s="2029"/>
      <c r="S20" s="2029"/>
      <c r="T20" s="2029"/>
      <c r="U20" s="2029"/>
      <c r="V20" s="2029"/>
    </row>
    <row r="21" spans="1:22" ht="24.75" customHeight="1">
      <c r="A21" s="2093"/>
      <c r="B21" s="2095" t="s">
        <v>1812</v>
      </c>
      <c r="C21" s="2096" t="s">
        <v>3281</v>
      </c>
      <c r="D21" s="2097"/>
      <c r="E21" s="2098"/>
      <c r="F21" s="2099"/>
      <c r="G21" s="2042"/>
      <c r="H21" s="2042"/>
      <c r="I21" s="2042"/>
      <c r="J21" s="2042"/>
      <c r="K21" s="318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1"/>
      <c r="O21" s="2080"/>
      <c r="P21" s="2081"/>
      <c r="Q21" s="2029"/>
      <c r="R21" s="2029"/>
      <c r="S21" s="2029"/>
      <c r="T21" s="2029"/>
      <c r="U21" s="2029"/>
      <c r="V21" s="2029"/>
    </row>
    <row r="22" spans="1:22" ht="24.75" customHeight="1" thickBot="1">
      <c r="A22" s="2093"/>
      <c r="B22" s="2100"/>
      <c r="C22" s="2096"/>
      <c r="D22" s="2026"/>
      <c r="E22" s="2026"/>
      <c r="F22" s="2101"/>
      <c r="G22" s="2042"/>
      <c r="H22" s="2042"/>
      <c r="I22" s="2042"/>
      <c r="J22" s="2042"/>
      <c r="K22" s="318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1"/>
      <c r="O22" s="2080"/>
      <c r="P22" s="2081"/>
      <c r="Q22" s="2029"/>
      <c r="R22" s="2029"/>
      <c r="S22" s="2029"/>
      <c r="T22" s="2029"/>
      <c r="U22" s="2029"/>
      <c r="V22" s="2029"/>
    </row>
    <row r="23" spans="1:22" ht="18" customHeight="1">
      <c r="A23" s="2102" t="s">
        <v>1813</v>
      </c>
      <c r="B23" s="183" t="s">
        <v>1814</v>
      </c>
      <c r="C23" s="2103">
        <v>42033</v>
      </c>
      <c r="D23" s="2104" t="s">
        <v>1814</v>
      </c>
      <c r="E23" s="2105"/>
      <c r="F23" s="2101"/>
      <c r="G23" s="2042"/>
      <c r="H23" s="2042"/>
      <c r="I23" s="2042"/>
      <c r="J23" s="2042"/>
      <c r="K23" s="2106"/>
      <c r="L23" s="748"/>
      <c r="M23" s="2028"/>
      <c r="N23" s="2081"/>
      <c r="O23" s="2080"/>
      <c r="P23" s="2081"/>
      <c r="Q23" s="2029"/>
      <c r="R23" s="2029"/>
      <c r="S23" s="2029"/>
      <c r="T23" s="2029"/>
      <c r="U23" s="2029"/>
      <c r="V23" s="2029"/>
    </row>
    <row r="24" spans="1:22" ht="18" customHeight="1">
      <c r="A24" s="2107"/>
      <c r="B24" s="183" t="s">
        <v>1815</v>
      </c>
      <c r="C24" s="2971" t="s">
        <v>3282</v>
      </c>
      <c r="D24" s="2102" t="s">
        <v>1815</v>
      </c>
      <c r="E24" s="2109"/>
      <c r="F24" s="2101"/>
      <c r="G24" s="2042"/>
      <c r="H24" s="2042"/>
      <c r="I24" s="2042"/>
      <c r="J24" s="2042"/>
      <c r="K24" s="2106"/>
      <c r="L24" s="748"/>
      <c r="M24" s="2028"/>
      <c r="N24" s="2081"/>
      <c r="O24" s="2080"/>
      <c r="P24" s="2081"/>
      <c r="Q24" s="2029"/>
      <c r="R24" s="2029"/>
      <c r="S24" s="2029"/>
      <c r="T24" s="2029"/>
      <c r="U24" s="2029"/>
      <c r="V24" s="2029"/>
    </row>
    <row r="25" spans="1:22" ht="18" customHeight="1">
      <c r="A25" s="2107"/>
      <c r="B25" s="183" t="s">
        <v>1816</v>
      </c>
      <c r="C25" s="2108"/>
      <c r="D25" s="2102" t="s">
        <v>1816</v>
      </c>
      <c r="E25" s="2109"/>
      <c r="F25" s="2101"/>
      <c r="G25" s="2042"/>
      <c r="H25" s="2042"/>
      <c r="I25" s="2042"/>
      <c r="J25" s="2042"/>
      <c r="K25" s="2053"/>
      <c r="L25" s="2028"/>
      <c r="M25" s="2028"/>
      <c r="N25" s="2081"/>
      <c r="O25" s="2080"/>
      <c r="P25" s="2081"/>
      <c r="Q25" s="2029"/>
      <c r="R25" s="2029"/>
      <c r="S25" s="2029"/>
      <c r="T25" s="2029"/>
      <c r="U25" s="2029"/>
      <c r="V25" s="2029"/>
    </row>
    <row r="26" spans="1:22" ht="18" customHeight="1" thickBot="1">
      <c r="A26" s="2110"/>
      <c r="B26" s="2111" t="s">
        <v>1817</v>
      </c>
      <c r="C26" s="2112"/>
      <c r="D26" s="2113" t="s">
        <v>1818</v>
      </c>
      <c r="E26" s="2114"/>
      <c r="F26" s="2115"/>
      <c r="G26" s="2061"/>
      <c r="H26" s="2061"/>
      <c r="I26" s="2061"/>
      <c r="J26" s="2042"/>
      <c r="K26" s="2053"/>
      <c r="L26" s="2028"/>
      <c r="M26" s="2028"/>
      <c r="N26" s="2081"/>
      <c r="O26" s="2080"/>
      <c r="P26" s="2081"/>
      <c r="Q26" s="2029"/>
      <c r="R26" s="2029"/>
      <c r="S26" s="2029"/>
      <c r="T26" s="2029"/>
      <c r="U26" s="2029"/>
      <c r="V26" s="2029"/>
    </row>
    <row r="27" spans="1:22" ht="18" customHeight="1" thickTop="1">
      <c r="A27" s="3205" t="s">
        <v>1819</v>
      </c>
      <c r="B27" s="2062" t="s">
        <v>1820</v>
      </c>
      <c r="C27" s="2116" t="s">
        <v>3283</v>
      </c>
      <c r="D27" s="2117"/>
      <c r="E27" s="2042"/>
      <c r="F27" s="2042"/>
      <c r="G27" s="2042"/>
      <c r="H27" s="2042"/>
      <c r="I27" s="2042"/>
      <c r="J27" s="2029"/>
      <c r="K27" s="2079"/>
      <c r="L27" s="2080"/>
      <c r="M27" s="2080"/>
      <c r="N27" s="2081"/>
      <c r="O27" s="2080"/>
      <c r="P27" s="2081"/>
      <c r="Q27" s="2029"/>
      <c r="R27" s="2029"/>
      <c r="S27" s="2029"/>
      <c r="T27" s="2029"/>
      <c r="U27" s="2029"/>
      <c r="V27" s="2029"/>
    </row>
    <row r="28" spans="1:22" ht="18" customHeight="1">
      <c r="A28" s="3205"/>
      <c r="B28" s="2035" t="s">
        <v>1821</v>
      </c>
      <c r="C28" s="2118"/>
      <c r="D28" s="2119"/>
      <c r="E28" s="2042"/>
      <c r="F28" s="2042"/>
      <c r="G28" s="2042"/>
      <c r="H28" s="2042"/>
      <c r="I28" s="2042"/>
      <c r="J28" s="2029"/>
      <c r="K28" s="2120"/>
      <c r="L28" s="2028"/>
      <c r="M28" s="2028"/>
      <c r="N28" s="2029"/>
      <c r="O28" s="2030"/>
      <c r="P28" s="2029"/>
      <c r="Q28" s="2029"/>
      <c r="R28" s="2029"/>
      <c r="S28" s="2029"/>
      <c r="T28" s="2029"/>
      <c r="U28" s="2029"/>
      <c r="V28" s="2029"/>
    </row>
    <row r="29" spans="1:22" ht="18" customHeight="1">
      <c r="A29" s="3205"/>
      <c r="B29" s="2035" t="s">
        <v>1822</v>
      </c>
      <c r="C29" s="2121"/>
      <c r="D29" s="2122"/>
      <c r="E29" s="2042"/>
      <c r="F29" s="2042"/>
      <c r="G29" s="2042"/>
      <c r="H29" s="2042"/>
      <c r="I29" s="2042"/>
      <c r="J29" s="2029"/>
      <c r="K29" s="2120"/>
      <c r="L29" s="2028"/>
      <c r="M29" s="2028"/>
      <c r="N29" s="2029"/>
      <c r="O29" s="2030"/>
      <c r="P29" s="2029"/>
      <c r="Q29" s="2029"/>
      <c r="R29" s="2029"/>
      <c r="S29" s="2029"/>
      <c r="T29" s="2029"/>
      <c r="U29" s="2029"/>
      <c r="V29" s="2029"/>
    </row>
    <row r="30" spans="1:22" ht="18" customHeight="1">
      <c r="A30" s="3206"/>
      <c r="B30" s="2035" t="s">
        <v>1823</v>
      </c>
      <c r="C30" s="3207"/>
      <c r="D30" s="3208"/>
      <c r="E30" s="2042"/>
      <c r="F30" s="2042"/>
      <c r="G30" s="2042"/>
      <c r="H30" s="2042"/>
      <c r="I30" s="2042"/>
      <c r="J30" s="2029"/>
      <c r="K30" s="2120"/>
      <c r="L30" s="2028"/>
      <c r="M30" s="2028"/>
      <c r="N30" s="2029"/>
      <c r="O30" s="2030"/>
      <c r="P30" s="2029"/>
      <c r="Q30" s="2029"/>
      <c r="R30" s="2029"/>
      <c r="S30" s="2029"/>
      <c r="T30" s="2029"/>
      <c r="U30" s="2029"/>
      <c r="V30" s="2029"/>
    </row>
    <row r="31" spans="1:22" ht="18" customHeight="1">
      <c r="A31" s="3209" t="s">
        <v>1824</v>
      </c>
      <c r="B31" s="2123" t="s">
        <v>3049</v>
      </c>
      <c r="C31" s="2124" t="str">
        <f>IF(B31="现房","成新及维护状况正常否",IF(B31="在建","工程状态是否正常",IF(B31="土地","是否闲置","-")))</f>
        <v>成新及维护状况正常否</v>
      </c>
      <c r="D31" s="2125"/>
      <c r="E31" s="2126"/>
      <c r="F31" s="2042"/>
      <c r="G31" s="2042"/>
      <c r="H31" s="2042"/>
      <c r="I31" s="2042"/>
      <c r="J31" s="2042"/>
      <c r="K31" s="2051"/>
      <c r="L31" s="2028"/>
      <c r="M31" s="2028"/>
      <c r="N31" s="2029"/>
      <c r="O31" s="2030"/>
      <c r="P31" s="2029"/>
      <c r="Q31" s="2029"/>
      <c r="R31" s="2029"/>
      <c r="S31" s="2029"/>
      <c r="T31" s="2029"/>
      <c r="U31" s="2029"/>
      <c r="V31" s="2029"/>
    </row>
    <row r="32" spans="1:22" ht="18" customHeight="1">
      <c r="A32" s="3210"/>
      <c r="B32" s="2123"/>
      <c r="C32" s="2124" t="str">
        <f>IF(B32="现房","成新及维护状况是否正常",IF(B32="在建","工程状态是否正常",IF(B32="土地","是否闲置","-")))</f>
        <v>-</v>
      </c>
      <c r="D32" s="2125"/>
      <c r="E32" s="2126"/>
      <c r="F32" s="2042"/>
      <c r="G32" s="2042"/>
      <c r="H32" s="2042"/>
      <c r="I32" s="2042"/>
      <c r="J32" s="2042"/>
      <c r="K32" s="2053"/>
      <c r="L32" s="2028"/>
      <c r="M32" s="2028"/>
      <c r="N32" s="2029"/>
      <c r="O32" s="2030"/>
      <c r="P32" s="2029"/>
      <c r="Q32" s="2029"/>
      <c r="R32" s="2029"/>
      <c r="S32" s="2029"/>
      <c r="T32" s="2029"/>
      <c r="U32" s="2029"/>
      <c r="V32" s="2029"/>
    </row>
    <row r="33" spans="1:22" ht="18" customHeight="1">
      <c r="A33" s="3210"/>
      <c r="B33" s="2127"/>
      <c r="C33" s="2067" t="str">
        <f>IF(B33="现房","成新及维护状况是否正常",IF(B33="在建","工程状态是否正常",IF(B33="土地","是否闲置","-")))</f>
        <v>-</v>
      </c>
      <c r="D33" s="2128"/>
      <c r="E33" s="2129"/>
      <c r="F33" s="2042"/>
      <c r="G33" s="2042"/>
      <c r="H33" s="2042"/>
      <c r="I33" s="2042"/>
      <c r="J33" s="2042"/>
      <c r="K33" s="2053"/>
      <c r="L33" s="2028"/>
      <c r="M33" s="2028"/>
      <c r="N33" s="2029"/>
      <c r="O33" s="2030"/>
      <c r="P33" s="2029"/>
      <c r="Q33" s="2029"/>
      <c r="R33" s="2029"/>
      <c r="S33" s="2029"/>
      <c r="T33" s="2029"/>
      <c r="U33" s="2029"/>
      <c r="V33" s="2029"/>
    </row>
    <row r="34" spans="1:22" ht="18" customHeight="1">
      <c r="A34" s="2035" t="s">
        <v>1825</v>
      </c>
      <c r="B34" s="2130" t="s">
        <v>3284</v>
      </c>
      <c r="C34" s="2130" t="s">
        <v>3285</v>
      </c>
      <c r="D34" s="2130" t="s">
        <v>3286</v>
      </c>
      <c r="E34" s="2130" t="s">
        <v>3287</v>
      </c>
      <c r="F34" s="2130" t="s">
        <v>3288</v>
      </c>
      <c r="G34" s="2130"/>
      <c r="H34" s="2130"/>
      <c r="I34" s="2042"/>
      <c r="J34" s="2042"/>
      <c r="K34" s="1795">
        <f>COUNTIF(B34:H34,"——")</f>
        <v>0</v>
      </c>
      <c r="L34" s="2071" t="s">
        <v>1826</v>
      </c>
      <c r="M34" s="2071" t="s">
        <v>1827</v>
      </c>
      <c r="N34" s="2071" t="s">
        <v>1828</v>
      </c>
      <c r="O34" s="2071" t="s">
        <v>1829</v>
      </c>
      <c r="P34" s="2071" t="s">
        <v>1830</v>
      </c>
      <c r="Q34" s="2071" t="s">
        <v>1831</v>
      </c>
      <c r="R34" s="2071" t="s">
        <v>1832</v>
      </c>
      <c r="S34" s="3204" t="s">
        <v>1833</v>
      </c>
      <c r="T34" s="2131" t="str">
        <f>NUMBERSTRING(7-K34,1)&amp;"通"</f>
        <v>七通</v>
      </c>
      <c r="U34" s="2029"/>
      <c r="V34" s="2029"/>
    </row>
    <row r="35" spans="1:22" ht="18" customHeight="1">
      <c r="A35" s="2132"/>
      <c r="B35" s="3211" t="s">
        <v>1834</v>
      </c>
      <c r="C35" s="3211"/>
      <c r="D35" s="3211"/>
      <c r="E35" s="3211"/>
      <c r="F35" s="2133" t="str">
        <f>C10</f>
        <v>广东省</v>
      </c>
      <c r="G35" s="2042"/>
      <c r="H35" s="2042"/>
      <c r="I35" s="2042"/>
      <c r="J35" s="2042"/>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204"/>
      <c r="T35" s="48" t="str">
        <f>IF(T34="一通",L35,IF(T34="二通",M35,IF(T34="三通",N35,IF(T34="四通",O35,IF(T34="五通",P35,IF(T34="六通",Q35,R35))))))</f>
        <v>通路、通电、通讯、通上水、通下水、、</v>
      </c>
      <c r="U35" s="2029"/>
      <c r="V35" s="2029"/>
    </row>
    <row r="36" spans="1:22" ht="18" customHeight="1">
      <c r="A36" s="2134"/>
      <c r="B36" s="2133" t="s">
        <v>1835</v>
      </c>
      <c r="C36" s="2133" t="s">
        <v>1836</v>
      </c>
      <c r="D36" s="2133" t="s">
        <v>1837</v>
      </c>
      <c r="E36" s="2133" t="s">
        <v>1838</v>
      </c>
      <c r="F36" s="2135"/>
      <c r="G36" s="2042"/>
      <c r="H36" s="2042"/>
      <c r="I36" s="2042"/>
      <c r="J36" s="2042"/>
      <c r="K36" s="2053"/>
      <c r="L36" s="2028"/>
      <c r="M36" s="2028"/>
      <c r="N36" s="2029"/>
      <c r="O36" s="2030"/>
      <c r="P36" s="2029"/>
      <c r="Q36" s="2029"/>
      <c r="R36" s="2029"/>
      <c r="S36" s="2029"/>
      <c r="T36" s="2029"/>
      <c r="U36" s="2029"/>
      <c r="V36" s="2029"/>
    </row>
    <row r="37" spans="1:22" ht="18" customHeight="1">
      <c r="A37" s="2136" t="s">
        <v>1839</v>
      </c>
      <c r="B37" s="2137"/>
      <c r="C37" s="2137"/>
      <c r="D37" s="2137"/>
      <c r="E37" s="2137"/>
      <c r="F37" s="2135"/>
      <c r="G37" s="2042"/>
      <c r="H37" s="2042"/>
      <c r="I37" s="2042"/>
      <c r="J37" s="2042"/>
      <c r="K37" s="2053"/>
      <c r="L37" s="2028"/>
      <c r="M37" s="2028"/>
      <c r="N37" s="2029"/>
      <c r="O37" s="2030"/>
      <c r="P37" s="2029"/>
      <c r="Q37" s="2029"/>
      <c r="R37" s="2029"/>
      <c r="S37" s="2029"/>
      <c r="T37" s="2029"/>
      <c r="U37" s="2029"/>
      <c r="V37" s="2029"/>
    </row>
    <row r="38" spans="1:22" ht="18" customHeight="1" thickBot="1">
      <c r="A38" s="2138" t="s">
        <v>1840</v>
      </c>
      <c r="B38" s="2139"/>
      <c r="C38" s="2139"/>
      <c r="D38" s="2139"/>
      <c r="E38" s="2139"/>
      <c r="F38" s="2140"/>
      <c r="G38" s="2061"/>
      <c r="H38" s="2061"/>
      <c r="I38" s="2061"/>
      <c r="J38" s="2042"/>
      <c r="K38" s="2053"/>
      <c r="L38" s="2028"/>
      <c r="M38" s="2028"/>
      <c r="N38" s="2029"/>
      <c r="O38" s="2030"/>
      <c r="P38" s="2029"/>
      <c r="Q38" s="2029"/>
      <c r="R38" s="2029"/>
      <c r="S38" s="2029"/>
      <c r="T38" s="2029"/>
      <c r="U38" s="2029"/>
      <c r="V38" s="2029"/>
    </row>
    <row r="39" spans="1:22" s="2145" customFormat="1" ht="18" customHeight="1" thickTop="1" thickBot="1">
      <c r="A39" s="2141" t="s">
        <v>1841</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9"/>
      <c r="B40" s="2029"/>
      <c r="C40" s="2029"/>
      <c r="D40" s="2029"/>
      <c r="E40" s="2029"/>
      <c r="F40" s="2029"/>
      <c r="G40" s="2029"/>
      <c r="H40" s="2029"/>
      <c r="I40" s="2146"/>
      <c r="J40" s="2081"/>
      <c r="K40" s="666"/>
      <c r="L40" s="2080"/>
      <c r="M40" s="2080"/>
      <c r="N40" s="2081"/>
      <c r="O40" s="2080"/>
      <c r="P40" s="2029"/>
      <c r="Q40" s="2029"/>
      <c r="R40" s="2029"/>
      <c r="S40" s="2029"/>
      <c r="T40" s="2029"/>
      <c r="U40" s="2029"/>
      <c r="V40" s="2029"/>
    </row>
    <row r="41" spans="1:22" ht="18" customHeight="1">
      <c r="A41" s="8" t="s">
        <v>1842</v>
      </c>
      <c r="B41" s="2147"/>
      <c r="C41" s="2148"/>
      <c r="D41" s="2029"/>
      <c r="E41" s="2029"/>
      <c r="F41" s="2029"/>
      <c r="G41" s="2029"/>
      <c r="H41" s="2029"/>
      <c r="I41" s="2030"/>
      <c r="J41" s="2029"/>
      <c r="K41" s="2120"/>
      <c r="L41" s="2028"/>
      <c r="M41" s="2028"/>
      <c r="N41" s="2029"/>
      <c r="O41" s="2030"/>
      <c r="P41" s="2029"/>
      <c r="Q41" s="2029"/>
      <c r="R41" s="2029"/>
      <c r="S41" s="2029"/>
      <c r="T41" s="2029"/>
      <c r="U41" s="2029"/>
      <c r="V41" s="2029"/>
    </row>
    <row r="42" spans="1:22" ht="18" customHeight="1">
      <c r="A42" s="2071" t="s">
        <v>1843</v>
      </c>
      <c r="B42" s="1795" t="s">
        <v>1844</v>
      </c>
      <c r="C42" s="1795" t="s">
        <v>1845</v>
      </c>
      <c r="D42" s="1795" t="s">
        <v>1846</v>
      </c>
      <c r="E42" s="1795" t="s">
        <v>1847</v>
      </c>
      <c r="F42" s="1795" t="s">
        <v>1848</v>
      </c>
      <c r="G42" s="1795" t="s">
        <v>1849</v>
      </c>
      <c r="H42" s="1795" t="s">
        <v>1850</v>
      </c>
      <c r="I42" s="1795" t="s">
        <v>1851</v>
      </c>
      <c r="J42" s="2149" t="s">
        <v>1852</v>
      </c>
      <c r="K42" s="2072" t="s">
        <v>1853</v>
      </c>
      <c r="L42" s="2072" t="s">
        <v>1854</v>
      </c>
      <c r="M42" s="2072" t="s">
        <v>1855</v>
      </c>
      <c r="N42" s="1795" t="s">
        <v>1856</v>
      </c>
      <c r="O42" s="1795" t="s">
        <v>1857</v>
      </c>
      <c r="P42" s="1795" t="s">
        <v>1858</v>
      </c>
      <c r="Q42" s="2071" t="s">
        <v>1859</v>
      </c>
      <c r="R42" s="2071" t="s">
        <v>1860</v>
      </c>
      <c r="S42" s="2029"/>
      <c r="T42" s="2029"/>
      <c r="U42" s="2029"/>
      <c r="V42" s="2029"/>
    </row>
    <row r="43" spans="1:22" s="2154" customFormat="1" ht="18" customHeight="1">
      <c r="A43" s="2150"/>
      <c r="B43" s="1272"/>
      <c r="C43" s="1272"/>
      <c r="D43" s="1272"/>
      <c r="E43" s="1272"/>
      <c r="F43" s="1272"/>
      <c r="G43" s="1272"/>
      <c r="H43" s="9"/>
      <c r="I43" s="9"/>
      <c r="J43" s="2151"/>
      <c r="K43" s="2152"/>
      <c r="L43" s="2152"/>
      <c r="M43" s="9"/>
      <c r="N43" s="1272"/>
      <c r="O43" s="9"/>
      <c r="P43" s="1272"/>
      <c r="Q43" s="1272"/>
      <c r="R43" s="1272"/>
      <c r="S43" s="2153"/>
      <c r="T43" s="2153"/>
      <c r="U43" s="2153"/>
      <c r="V43" s="2153"/>
    </row>
    <row r="44" spans="1:22" s="2154" customFormat="1" ht="18" customHeight="1">
      <c r="A44" s="2150"/>
      <c r="B44" s="2150"/>
      <c r="C44" s="1272"/>
      <c r="D44" s="1272"/>
      <c r="E44" s="1272"/>
      <c r="F44" s="1272"/>
      <c r="G44" s="1272"/>
      <c r="H44" s="9"/>
      <c r="I44" s="9"/>
      <c r="J44" s="2151"/>
      <c r="K44" s="2152"/>
      <c r="L44" s="2152"/>
      <c r="M44" s="9"/>
      <c r="N44" s="1272"/>
      <c r="O44" s="9"/>
      <c r="P44" s="1272"/>
      <c r="Q44" s="1272"/>
      <c r="R44" s="1272"/>
      <c r="S44" s="2153"/>
      <c r="T44" s="2153"/>
      <c r="U44" s="2153"/>
      <c r="V44" s="2153"/>
    </row>
    <row r="45" spans="1:22" s="2154" customFormat="1" ht="18" customHeight="1">
      <c r="A45" s="2150"/>
      <c r="B45" s="2150"/>
      <c r="C45" s="1272"/>
      <c r="D45" s="1272"/>
      <c r="E45" s="1272"/>
      <c r="F45" s="1272"/>
      <c r="G45" s="1272"/>
      <c r="H45" s="9"/>
      <c r="I45" s="9"/>
      <c r="J45" s="2151"/>
      <c r="K45" s="2152"/>
      <c r="L45" s="2152"/>
      <c r="M45" s="9"/>
      <c r="N45" s="1272"/>
      <c r="O45" s="9"/>
      <c r="P45" s="1272"/>
      <c r="Q45" s="1272"/>
      <c r="R45" s="1272"/>
      <c r="S45" s="2153"/>
      <c r="T45" s="2153"/>
      <c r="U45" s="2153"/>
      <c r="V45" s="2153"/>
    </row>
    <row r="46" spans="1:22" s="2154" customFormat="1" ht="18" customHeight="1">
      <c r="A46" s="2150"/>
      <c r="B46" s="2150"/>
      <c r="C46" s="1272"/>
      <c r="D46" s="1272"/>
      <c r="E46" s="1272"/>
      <c r="F46" s="1272"/>
      <c r="G46" s="1272"/>
      <c r="H46" s="9"/>
      <c r="I46" s="9"/>
      <c r="J46" s="2151"/>
      <c r="K46" s="2152"/>
      <c r="L46" s="2152"/>
      <c r="M46" s="9"/>
      <c r="N46" s="1272"/>
      <c r="O46" s="9"/>
      <c r="P46" s="1272"/>
      <c r="Q46" s="1272"/>
      <c r="R46" s="1272"/>
      <c r="S46" s="2153"/>
      <c r="T46" s="2153"/>
      <c r="U46" s="2153"/>
      <c r="V46" s="2153"/>
    </row>
    <row r="47" spans="1:22" s="2154" customFormat="1" ht="18" customHeight="1">
      <c r="A47" s="2150"/>
      <c r="B47" s="2150"/>
      <c r="C47" s="1272"/>
      <c r="D47" s="1272"/>
      <c r="E47" s="1272"/>
      <c r="F47" s="1272"/>
      <c r="G47" s="1272"/>
      <c r="H47" s="9"/>
      <c r="I47" s="9"/>
      <c r="J47" s="2151"/>
      <c r="K47" s="2152"/>
      <c r="L47" s="2152"/>
      <c r="M47" s="9"/>
      <c r="N47" s="1272"/>
      <c r="O47" s="9"/>
      <c r="P47" s="1272"/>
      <c r="Q47" s="1272"/>
      <c r="R47" s="1272"/>
      <c r="S47" s="2153"/>
      <c r="T47" s="2153"/>
      <c r="U47" s="2153"/>
      <c r="V47" s="2153"/>
    </row>
    <row r="48" spans="1:22" s="2154" customFormat="1" ht="18" customHeight="1">
      <c r="A48" s="2150"/>
      <c r="B48" s="2150"/>
      <c r="C48" s="1272"/>
      <c r="D48" s="1272"/>
      <c r="E48" s="1272"/>
      <c r="F48" s="1272"/>
      <c r="G48" s="1272"/>
      <c r="H48" s="9"/>
      <c r="I48" s="9"/>
      <c r="J48" s="2151"/>
      <c r="K48" s="2152"/>
      <c r="L48" s="2152"/>
      <c r="M48" s="9"/>
      <c r="N48" s="1272"/>
      <c r="O48" s="9"/>
      <c r="P48" s="1272"/>
      <c r="Q48" s="1272"/>
      <c r="R48" s="1272"/>
      <c r="S48" s="2153"/>
      <c r="T48" s="2153"/>
      <c r="U48" s="2153"/>
      <c r="V48" s="2153"/>
    </row>
    <row r="49" spans="1:22" s="2154" customFormat="1" ht="18" customHeight="1">
      <c r="A49" s="2150"/>
      <c r="B49" s="2150"/>
      <c r="C49" s="1272"/>
      <c r="D49" s="1272"/>
      <c r="E49" s="1272"/>
      <c r="F49" s="1272"/>
      <c r="G49" s="1272"/>
      <c r="H49" s="9"/>
      <c r="I49" s="9"/>
      <c r="J49" s="2151"/>
      <c r="K49" s="2152"/>
      <c r="L49" s="2152"/>
      <c r="M49" s="9"/>
      <c r="N49" s="1272"/>
      <c r="O49" s="9"/>
      <c r="P49" s="1272"/>
      <c r="Q49" s="1272"/>
      <c r="R49" s="1272"/>
      <c r="S49" s="2153"/>
      <c r="T49" s="2153"/>
      <c r="U49" s="2153"/>
      <c r="V49" s="2153"/>
    </row>
    <row r="50" spans="1:22" s="2154" customFormat="1" ht="18" customHeight="1">
      <c r="A50" s="2150"/>
      <c r="B50" s="2150"/>
      <c r="C50" s="1272"/>
      <c r="D50" s="1272"/>
      <c r="E50" s="1272"/>
      <c r="F50" s="1272"/>
      <c r="G50" s="1272"/>
      <c r="H50" s="9"/>
      <c r="I50" s="9"/>
      <c r="J50" s="2151"/>
      <c r="K50" s="2152"/>
      <c r="L50" s="2152"/>
      <c r="M50" s="9"/>
      <c r="N50" s="1272"/>
      <c r="O50" s="9"/>
      <c r="P50" s="1272"/>
      <c r="Q50" s="1272"/>
      <c r="R50" s="1272"/>
      <c r="S50" s="2153"/>
      <c r="T50" s="2153"/>
      <c r="U50" s="2153"/>
      <c r="V50" s="2153"/>
    </row>
    <row r="51" spans="1:22" s="2154" customFormat="1" ht="18" customHeight="1">
      <c r="A51" s="2150"/>
      <c r="B51" s="2150"/>
      <c r="C51" s="1272"/>
      <c r="D51" s="1272"/>
      <c r="E51" s="1272"/>
      <c r="F51" s="1272"/>
      <c r="G51" s="1272"/>
      <c r="H51" s="9"/>
      <c r="I51" s="9"/>
      <c r="J51" s="2151"/>
      <c r="K51" s="2152"/>
      <c r="L51" s="2152"/>
      <c r="M51" s="9"/>
      <c r="N51" s="1272"/>
      <c r="O51" s="9"/>
      <c r="P51" s="1272"/>
      <c r="Q51" s="1272"/>
      <c r="R51" s="1272"/>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hidden="1" customWidth="1"/>
    <col min="12" max="14" width="9.5" style="2156" hidden="1" customWidth="1"/>
    <col min="15" max="15" width="9.875" style="2156" hidden="1" customWidth="1"/>
    <col min="16" max="16" width="9.75" style="2156" hidden="1" customWidth="1"/>
    <col min="17" max="17" width="9.375" style="2156" hidden="1" customWidth="1"/>
    <col min="18" max="18" width="9.25" style="2156" hidden="1" customWidth="1"/>
    <col min="19" max="19" width="10.875" style="2156" hidden="1" customWidth="1"/>
    <col min="20" max="21" width="10.75" style="2156" hidden="1" customWidth="1"/>
    <col min="22" max="22" width="10.875" style="2156" hidden="1" customWidth="1"/>
    <col min="23" max="27" width="10.75" style="2156" hidden="1" customWidth="1"/>
    <col min="28" max="28" width="10.875" style="2156" hidden="1"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1861</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0" t="s">
        <v>1862</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4" customFormat="1" ht="24">
      <c r="A2" s="11" t="s">
        <v>1863</v>
      </c>
      <c r="B2" s="11" t="s">
        <v>1864</v>
      </c>
      <c r="C2" s="11" t="s">
        <v>1865</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9" t="s">
        <v>1866</v>
      </c>
      <c r="AZ2" s="1270" t="s">
        <v>1867</v>
      </c>
      <c r="BA2" s="11" t="s">
        <v>1868</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f>抵押物情况汇总!F43</f>
        <v>95897.739999999991</v>
      </c>
      <c r="B3" s="14">
        <f>IF(C3="否",G5-AT5,G5)</f>
        <v>193040.62000000002</v>
      </c>
      <c r="C3" s="2165" t="s">
        <v>1869</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1"/>
      <c r="AZ3" s="1272"/>
      <c r="BA3" s="1273"/>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1870</v>
      </c>
      <c r="B5" s="1803"/>
      <c r="C5" s="1803"/>
      <c r="D5" s="1806"/>
      <c r="E5" s="16" t="s">
        <v>1</v>
      </c>
      <c r="F5" s="16">
        <f>SUM(F13:F587)</f>
        <v>0</v>
      </c>
      <c r="G5" s="16">
        <f>SUM(G13:G587)</f>
        <v>193040.62000000002</v>
      </c>
      <c r="H5" s="16">
        <f t="shared" ref="H5:AT5" si="0">SUM(H13:H656)</f>
        <v>192636.23</v>
      </c>
      <c r="I5" s="16">
        <f t="shared" si="0"/>
        <v>192636.23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404.39</v>
      </c>
      <c r="AD5" s="16">
        <f t="shared" si="0"/>
        <v>0</v>
      </c>
      <c r="AE5" s="16">
        <f t="shared" si="0"/>
        <v>0</v>
      </c>
      <c r="AF5" s="16">
        <f t="shared" si="0"/>
        <v>0</v>
      </c>
      <c r="AG5" s="16">
        <f t="shared" si="0"/>
        <v>0</v>
      </c>
      <c r="AH5" s="16">
        <f t="shared" si="0"/>
        <v>0</v>
      </c>
      <c r="AI5" s="16">
        <f t="shared" si="0"/>
        <v>0</v>
      </c>
      <c r="AJ5" s="16">
        <f t="shared" si="0"/>
        <v>0</v>
      </c>
      <c r="AK5" s="16">
        <f t="shared" si="0"/>
        <v>0</v>
      </c>
      <c r="AL5" s="16">
        <f t="shared" si="0"/>
        <v>404.39</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1870</v>
      </c>
      <c r="AW5" s="1803"/>
      <c r="AX5" s="1803"/>
      <c r="AY5" s="17" t="s">
        <v>3</v>
      </c>
      <c r="AZ5" s="18">
        <f t="shared" ref="AZ5:BT5" si="1">SUM(AZ13:AZ656)</f>
        <v>193040.62000000002</v>
      </c>
      <c r="BA5" s="18">
        <f t="shared" si="1"/>
        <v>192636.23</v>
      </c>
      <c r="BB5" s="18">
        <f t="shared" si="1"/>
        <v>192636.23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404.39</v>
      </c>
      <c r="BM5" s="18">
        <f t="shared" si="1"/>
        <v>0</v>
      </c>
      <c r="BN5" s="18">
        <f t="shared" si="1"/>
        <v>0</v>
      </c>
      <c r="BO5" s="18">
        <f t="shared" si="1"/>
        <v>0</v>
      </c>
      <c r="BP5" s="18">
        <f t="shared" si="1"/>
        <v>0</v>
      </c>
      <c r="BQ5" s="18">
        <f t="shared" si="1"/>
        <v>404.39</v>
      </c>
      <c r="BR5" s="18">
        <f t="shared" si="1"/>
        <v>0</v>
      </c>
      <c r="BS5" s="18">
        <f t="shared" si="1"/>
        <v>0</v>
      </c>
      <c r="BT5" s="19">
        <f t="shared" si="1"/>
        <v>0</v>
      </c>
    </row>
    <row r="6" spans="1:72" s="2174" customFormat="1" ht="12.75">
      <c r="A6" s="15" t="s">
        <v>1871</v>
      </c>
      <c r="B6" s="2171"/>
      <c r="C6" s="2171"/>
      <c r="D6" s="2172"/>
      <c r="E6" s="16">
        <f>H6+AC6+AT6</f>
        <v>95897.74</v>
      </c>
      <c r="F6" s="16" t="s">
        <v>1</v>
      </c>
      <c r="G6" s="16" t="s">
        <v>2</v>
      </c>
      <c r="H6" s="20">
        <f>SUMIF(I$12:AB$12,"总值",I6:AB6)</f>
        <v>95696.85</v>
      </c>
      <c r="I6" s="16">
        <f t="shared" ref="I6:AB6" si="2">ROUND($A$3*I5/$B$3,2)</f>
        <v>95696.85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200.89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200.89</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1871</v>
      </c>
      <c r="AW6" s="2171"/>
      <c r="AX6" s="2171"/>
      <c r="AY6" s="21">
        <f>IF(AY3&gt;0,AY3,ROUND($A$3*AZ5/$B$3,2))</f>
        <v>95897.74</v>
      </c>
      <c r="AZ6" s="16" t="s">
        <v>3</v>
      </c>
      <c r="BA6" s="16">
        <f>ROUND($AY$6*BA5/$AZ$5,2)</f>
        <v>95696.85</v>
      </c>
      <c r="BB6" s="16">
        <f>ROUND($AY$6*BB5/$AZ$5,2)</f>
        <v>95696.85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200.89</v>
      </c>
      <c r="BM6" s="16">
        <f t="shared" si="5"/>
        <v>0</v>
      </c>
      <c r="BN6" s="16">
        <f t="shared" si="5"/>
        <v>0</v>
      </c>
      <c r="BO6" s="16">
        <f t="shared" si="5"/>
        <v>0</v>
      </c>
      <c r="BP6" s="16">
        <f t="shared" si="5"/>
        <v>0</v>
      </c>
      <c r="BQ6" s="16">
        <f t="shared" si="5"/>
        <v>200.89</v>
      </c>
      <c r="BR6" s="16">
        <f t="shared" si="5"/>
        <v>0</v>
      </c>
      <c r="BS6" s="16">
        <f t="shared" si="5"/>
        <v>0</v>
      </c>
      <c r="BT6" s="22">
        <f t="shared" si="5"/>
        <v>0</v>
      </c>
    </row>
    <row r="7" spans="1:72" s="2164" customFormat="1" ht="24.75">
      <c r="A7" s="2106" t="s">
        <v>1872</v>
      </c>
      <c r="B7" s="2106" t="s">
        <v>1873</v>
      </c>
      <c r="C7" s="2106" t="s">
        <v>1874</v>
      </c>
      <c r="D7" s="2106" t="s">
        <v>1875</v>
      </c>
      <c r="E7" s="2106" t="s">
        <v>1876</v>
      </c>
      <c r="F7" s="2106" t="s">
        <v>1877</v>
      </c>
      <c r="G7" s="2175" t="s">
        <v>1878</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6"/>
      <c r="AU7" s="2176" t="s">
        <v>1879</v>
      </c>
      <c r="AV7" s="23" t="s">
        <v>1880</v>
      </c>
      <c r="AW7" s="2163" t="s">
        <v>1881</v>
      </c>
      <c r="AX7" s="23" t="s">
        <v>1874</v>
      </c>
      <c r="AY7" s="1803" t="s">
        <v>1882</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1883</v>
      </c>
      <c r="H8" s="2181" t="s">
        <v>1884</v>
      </c>
      <c r="I8" s="2182"/>
      <c r="J8" s="1818"/>
      <c r="K8" s="1818"/>
      <c r="L8" s="1818"/>
      <c r="M8" s="1818"/>
      <c r="N8" s="1818"/>
      <c r="O8" s="1818"/>
      <c r="P8" s="1818"/>
      <c r="Q8" s="1818"/>
      <c r="R8" s="1818"/>
      <c r="S8" s="1818"/>
      <c r="T8" s="1818"/>
      <c r="U8" s="1818"/>
      <c r="V8" s="2183"/>
      <c r="W8" s="1818"/>
      <c r="X8" s="1818"/>
      <c r="Y8" s="1818"/>
      <c r="Z8" s="1818"/>
      <c r="AA8" s="2183"/>
      <c r="AB8" s="2184"/>
      <c r="AC8" s="981" t="s">
        <v>1885</v>
      </c>
      <c r="AD8" s="2185"/>
      <c r="AE8" s="2177"/>
      <c r="AF8" s="1818"/>
      <c r="AG8" s="1818"/>
      <c r="AH8" s="1818"/>
      <c r="AI8" s="1818"/>
      <c r="AJ8" s="1818"/>
      <c r="AK8" s="1818"/>
      <c r="AL8" s="1818"/>
      <c r="AM8" s="1818"/>
      <c r="AN8" s="1818"/>
      <c r="AO8" s="1818"/>
      <c r="AP8" s="1818"/>
      <c r="AQ8" s="1818"/>
      <c r="AR8" s="1818"/>
      <c r="AS8" s="1818"/>
      <c r="AT8" s="1292" t="s">
        <v>1886</v>
      </c>
      <c r="AU8" s="2179" t="s">
        <v>1887</v>
      </c>
      <c r="AV8" s="1292"/>
      <c r="AW8" s="2162"/>
      <c r="AX8" s="1292"/>
      <c r="AY8" s="2163" t="s">
        <v>1888</v>
      </c>
      <c r="AZ8" s="1817" t="s">
        <v>1889</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6" customFormat="1" ht="12.75">
      <c r="A9" s="2179"/>
      <c r="B9" s="2179"/>
      <c r="C9" s="2179"/>
      <c r="D9" s="2179"/>
      <c r="E9" s="2179"/>
      <c r="F9" s="2179"/>
      <c r="G9" s="1292"/>
      <c r="H9" s="2187" t="s">
        <v>1890</v>
      </c>
      <c r="I9" s="2188" t="s">
        <v>3051</v>
      </c>
      <c r="J9" s="981"/>
      <c r="K9" s="2188" t="s">
        <v>3051</v>
      </c>
      <c r="L9" s="981"/>
      <c r="M9" s="2188" t="s">
        <v>3051</v>
      </c>
      <c r="N9" s="981"/>
      <c r="O9" s="2188"/>
      <c r="P9" s="981"/>
      <c r="Q9" s="2188"/>
      <c r="R9" s="981"/>
      <c r="S9" s="2188"/>
      <c r="T9" s="981"/>
      <c r="U9" s="2188"/>
      <c r="V9" s="981"/>
      <c r="W9" s="2188"/>
      <c r="X9" s="2189"/>
      <c r="Y9" s="2188"/>
      <c r="Z9" s="981"/>
      <c r="AA9" s="2188"/>
      <c r="AB9" s="981"/>
      <c r="AC9" s="2180" t="s">
        <v>1890</v>
      </c>
      <c r="AD9" s="15" t="s">
        <v>1891</v>
      </c>
      <c r="AE9" s="1298"/>
      <c r="AF9" s="15" t="s">
        <v>1892</v>
      </c>
      <c r="AG9" s="1298"/>
      <c r="AH9" s="15" t="s">
        <v>1891</v>
      </c>
      <c r="AI9" s="1298"/>
      <c r="AJ9" s="15" t="s">
        <v>1892</v>
      </c>
      <c r="AK9" s="1298"/>
      <c r="AL9" s="15" t="s">
        <v>1891</v>
      </c>
      <c r="AM9" s="1298"/>
      <c r="AN9" s="15" t="s">
        <v>1892</v>
      </c>
      <c r="AO9" s="1298"/>
      <c r="AP9" s="15" t="s">
        <v>1891</v>
      </c>
      <c r="AQ9" s="1298"/>
      <c r="AR9" s="15" t="s">
        <v>1892</v>
      </c>
      <c r="AS9" s="2190"/>
      <c r="AT9" s="2179"/>
      <c r="AU9" s="2179" t="s">
        <v>1893</v>
      </c>
      <c r="AV9" s="1292"/>
      <c r="AW9" s="2162"/>
      <c r="AX9" s="1292"/>
      <c r="AY9" s="28"/>
      <c r="AZ9" s="28" t="s">
        <v>1883</v>
      </c>
      <c r="BA9" s="2191" t="s">
        <v>1894</v>
      </c>
      <c r="BB9" s="2192"/>
      <c r="BC9" s="1338"/>
      <c r="BD9" s="1338"/>
      <c r="BE9" s="1338"/>
      <c r="BF9" s="1338"/>
      <c r="BG9" s="1338"/>
      <c r="BH9" s="1338"/>
      <c r="BI9" s="1338"/>
      <c r="BJ9" s="1338"/>
      <c r="BK9" s="2193"/>
      <c r="BL9" s="15" t="s">
        <v>1895</v>
      </c>
      <c r="BM9" s="1818"/>
      <c r="BN9" s="2182"/>
      <c r="BO9" s="1818"/>
      <c r="BP9" s="1818"/>
      <c r="BQ9" s="1818"/>
      <c r="BR9" s="1818"/>
      <c r="BS9" s="1818"/>
      <c r="BT9" s="26"/>
    </row>
    <row r="10" spans="1:72" s="2186" customFormat="1" ht="12.75">
      <c r="A10" s="2179"/>
      <c r="B10" s="2179"/>
      <c r="C10" s="2179"/>
      <c r="D10" s="2179"/>
      <c r="E10" s="2179"/>
      <c r="F10" s="2179"/>
      <c r="G10" s="1292"/>
      <c r="H10" s="28"/>
      <c r="I10" s="2188" t="s">
        <v>6</v>
      </c>
      <c r="J10" s="981"/>
      <c r="K10" s="2188" t="s">
        <v>6</v>
      </c>
      <c r="L10" s="981"/>
      <c r="M10" s="2188" t="s">
        <v>6</v>
      </c>
      <c r="N10" s="981"/>
      <c r="O10" s="2194"/>
      <c r="P10" s="981"/>
      <c r="Q10" s="2194"/>
      <c r="R10" s="981"/>
      <c r="S10" s="2194"/>
      <c r="T10" s="981"/>
      <c r="U10" s="2194"/>
      <c r="V10" s="981"/>
      <c r="W10" s="2194"/>
      <c r="X10" s="981"/>
      <c r="Y10" s="2194"/>
      <c r="Z10" s="981"/>
      <c r="AA10" s="2194"/>
      <c r="AB10" s="981"/>
      <c r="AC10" s="1292"/>
      <c r="AD10" s="15" t="s">
        <v>1896</v>
      </c>
      <c r="AE10" s="2195"/>
      <c r="AF10" s="15" t="s">
        <v>1896</v>
      </c>
      <c r="AG10" s="2195"/>
      <c r="AH10" s="15" t="s">
        <v>1897</v>
      </c>
      <c r="AI10" s="2195"/>
      <c r="AJ10" s="15" t="s">
        <v>1897</v>
      </c>
      <c r="AK10" s="2195"/>
      <c r="AL10" s="15" t="s">
        <v>1898</v>
      </c>
      <c r="AM10" s="1298"/>
      <c r="AN10" s="15" t="s">
        <v>1898</v>
      </c>
      <c r="AO10" s="1298"/>
      <c r="AP10" s="15" t="s">
        <v>1899</v>
      </c>
      <c r="AQ10" s="1298"/>
      <c r="AR10" s="15" t="s">
        <v>1899</v>
      </c>
      <c r="AS10" s="1298"/>
      <c r="AT10" s="2179"/>
      <c r="AU10" s="2179"/>
      <c r="AV10" s="1292"/>
      <c r="AW10" s="2162"/>
      <c r="AX10" s="1292"/>
      <c r="AY10" s="28"/>
      <c r="AZ10" s="28"/>
      <c r="BA10" s="2196" t="s">
        <v>1890</v>
      </c>
      <c r="BB10" s="2197" t="str">
        <f>I9</f>
        <v>地上</v>
      </c>
      <c r="BC10" s="29" t="str">
        <f>K9</f>
        <v>地上</v>
      </c>
      <c r="BD10" s="29" t="str">
        <f>M9</f>
        <v>地上</v>
      </c>
      <c r="BE10" s="29">
        <f>O9</f>
        <v>0</v>
      </c>
      <c r="BF10" s="29">
        <f>Q9</f>
        <v>0</v>
      </c>
      <c r="BG10" s="29">
        <f>S9</f>
        <v>0</v>
      </c>
      <c r="BH10" s="29">
        <f>U9</f>
        <v>0</v>
      </c>
      <c r="BI10" s="29">
        <f>W9</f>
        <v>0</v>
      </c>
      <c r="BJ10" s="29">
        <f>Y9</f>
        <v>0</v>
      </c>
      <c r="BK10" s="29">
        <f>AA9</f>
        <v>0</v>
      </c>
      <c r="BL10" s="25" t="s">
        <v>1890</v>
      </c>
      <c r="BM10" s="1817" t="str">
        <f>AD9</f>
        <v>地上</v>
      </c>
      <c r="BN10" s="29" t="str">
        <f>AF9</f>
        <v>地下</v>
      </c>
      <c r="BO10" s="1817" t="str">
        <f>AH9</f>
        <v>地上</v>
      </c>
      <c r="BP10" s="29" t="str">
        <f>AJ9</f>
        <v>地下</v>
      </c>
      <c r="BQ10" s="1817" t="str">
        <f>AL9</f>
        <v>地上</v>
      </c>
      <c r="BR10" s="29" t="str">
        <f>AN9</f>
        <v>地下</v>
      </c>
      <c r="BS10" s="1817" t="str">
        <f>AP9</f>
        <v>地上</v>
      </c>
      <c r="BT10" s="2198" t="str">
        <f>AR9</f>
        <v>地下</v>
      </c>
    </row>
    <row r="11" spans="1:72" s="2186" customFormat="1" ht="12.75">
      <c r="A11" s="2179"/>
      <c r="B11" s="2179"/>
      <c r="C11" s="2179"/>
      <c r="D11" s="2179"/>
      <c r="E11" s="2179"/>
      <c r="F11" s="2179"/>
      <c r="G11" s="1292"/>
      <c r="H11" s="2196"/>
      <c r="I11" s="2199"/>
      <c r="J11" s="2200"/>
      <c r="K11" s="2199"/>
      <c r="L11" s="2200"/>
      <c r="M11" s="2199"/>
      <c r="N11" s="2200"/>
      <c r="O11" s="2199"/>
      <c r="P11" s="2200"/>
      <c r="Q11" s="2199"/>
      <c r="R11" s="2200"/>
      <c r="S11" s="2199"/>
      <c r="T11" s="2200"/>
      <c r="U11" s="2199"/>
      <c r="V11" s="2200"/>
      <c r="W11" s="2199"/>
      <c r="X11" s="2200"/>
      <c r="Y11" s="2199"/>
      <c r="Z11" s="2200"/>
      <c r="AA11" s="2199"/>
      <c r="AB11" s="2200"/>
      <c r="AC11" s="1292"/>
      <c r="AD11" s="2201" t="s">
        <v>1900</v>
      </c>
      <c r="AE11" s="1819"/>
      <c r="AF11" s="2201" t="s">
        <v>1900</v>
      </c>
      <c r="AG11" s="1819"/>
      <c r="AH11" s="2201" t="s">
        <v>1901</v>
      </c>
      <c r="AI11" s="2202"/>
      <c r="AJ11" s="2201" t="s">
        <v>1901</v>
      </c>
      <c r="AK11" s="1819"/>
      <c r="AL11" s="1817"/>
      <c r="AM11" s="1819"/>
      <c r="AN11" s="1817"/>
      <c r="AO11" s="1819"/>
      <c r="AP11" s="1817"/>
      <c r="AQ11" s="1819"/>
      <c r="AR11" s="1817"/>
      <c r="AS11" s="1819"/>
      <c r="AT11" s="2162"/>
      <c r="AU11" s="2179"/>
      <c r="AV11" s="1292"/>
      <c r="AW11" s="2162"/>
      <c r="AX11" s="1292"/>
      <c r="AY11" s="28"/>
      <c r="AZ11" s="28"/>
      <c r="BA11" s="28"/>
      <c r="BB11" s="2184" t="str">
        <f>I10</f>
        <v>工业</v>
      </c>
      <c r="BC11" s="2184" t="str">
        <f>K10</f>
        <v>工业</v>
      </c>
      <c r="BD11" s="2184" t="str">
        <f>M10</f>
        <v>工业</v>
      </c>
      <c r="BE11" s="2184">
        <f>O10</f>
        <v>0</v>
      </c>
      <c r="BF11" s="2184">
        <f>Q10</f>
        <v>0</v>
      </c>
      <c r="BG11" s="2184">
        <f>S10</f>
        <v>0</v>
      </c>
      <c r="BH11" s="2184">
        <f>U10</f>
        <v>0</v>
      </c>
      <c r="BI11" s="2184">
        <f>W10</f>
        <v>0</v>
      </c>
      <c r="BJ11" s="2184">
        <f>Y10</f>
        <v>0</v>
      </c>
      <c r="BK11" s="2184">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6" t="s">
        <v>1902</v>
      </c>
      <c r="J12" s="11" t="s">
        <v>1903</v>
      </c>
      <c r="K12" s="11" t="s">
        <v>1902</v>
      </c>
      <c r="L12" s="11" t="s">
        <v>1903</v>
      </c>
      <c r="M12" s="11" t="s">
        <v>1902</v>
      </c>
      <c r="N12" s="11" t="s">
        <v>1903</v>
      </c>
      <c r="O12" s="11" t="s">
        <v>1902</v>
      </c>
      <c r="P12" s="11" t="s">
        <v>1903</v>
      </c>
      <c r="Q12" s="11" t="s">
        <v>1902</v>
      </c>
      <c r="R12" s="11" t="s">
        <v>1903</v>
      </c>
      <c r="S12" s="11" t="s">
        <v>1902</v>
      </c>
      <c r="T12" s="11" t="s">
        <v>1903</v>
      </c>
      <c r="U12" s="11" t="s">
        <v>1902</v>
      </c>
      <c r="V12" s="1802" t="s">
        <v>1903</v>
      </c>
      <c r="W12" s="11" t="s">
        <v>1902</v>
      </c>
      <c r="X12" s="11" t="s">
        <v>1903</v>
      </c>
      <c r="Y12" s="11" t="s">
        <v>1902</v>
      </c>
      <c r="Z12" s="11" t="s">
        <v>1903</v>
      </c>
      <c r="AA12" s="11" t="s">
        <v>1902</v>
      </c>
      <c r="AB12" s="11" t="s">
        <v>1903</v>
      </c>
      <c r="AC12" s="2206"/>
      <c r="AD12" s="1806" t="s">
        <v>1902</v>
      </c>
      <c r="AE12" s="11" t="s">
        <v>1903</v>
      </c>
      <c r="AF12" s="11" t="s">
        <v>1902</v>
      </c>
      <c r="AG12" s="11" t="s">
        <v>1903</v>
      </c>
      <c r="AH12" s="11" t="s">
        <v>1902</v>
      </c>
      <c r="AI12" s="11" t="s">
        <v>1903</v>
      </c>
      <c r="AJ12" s="11" t="s">
        <v>1902</v>
      </c>
      <c r="AK12" s="11" t="s">
        <v>1903</v>
      </c>
      <c r="AL12" s="11" t="s">
        <v>1902</v>
      </c>
      <c r="AM12" s="11" t="s">
        <v>1903</v>
      </c>
      <c r="AN12" s="11" t="s">
        <v>1902</v>
      </c>
      <c r="AO12" s="11" t="s">
        <v>1903</v>
      </c>
      <c r="AP12" s="11" t="s">
        <v>1902</v>
      </c>
      <c r="AQ12" s="11" t="s">
        <v>1903</v>
      </c>
      <c r="AR12" s="30" t="s">
        <v>1902</v>
      </c>
      <c r="AS12" s="2204" t="s">
        <v>1903</v>
      </c>
      <c r="AT12" s="2207"/>
      <c r="AU12" s="2204"/>
      <c r="AV12" s="31"/>
      <c r="AW12" s="2163"/>
      <c r="AX12" s="31"/>
      <c r="AY12" s="2208"/>
      <c r="AZ12" s="28"/>
      <c r="BA12" s="2196"/>
      <c r="BB12" s="24">
        <f>I11</f>
        <v>0</v>
      </c>
      <c r="BC12" s="2209">
        <f>K11</f>
        <v>0</v>
      </c>
      <c r="BD12" s="2209">
        <f>M11</f>
        <v>0</v>
      </c>
      <c r="BE12" s="2184">
        <f>O11</f>
        <v>0</v>
      </c>
      <c r="BF12" s="2184">
        <f>Q11</f>
        <v>0</v>
      </c>
      <c r="BG12" s="2184">
        <f>S11</f>
        <v>0</v>
      </c>
      <c r="BH12" s="2184">
        <f>U11</f>
        <v>0</v>
      </c>
      <c r="BI12" s="2184">
        <f>W11</f>
        <v>0</v>
      </c>
      <c r="BJ12" s="2184">
        <f>Y11</f>
        <v>0</v>
      </c>
      <c r="BK12" s="2184">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3">
        <f>AR11</f>
        <v>0</v>
      </c>
    </row>
    <row r="13" spans="1:72" s="2164" customFormat="1" ht="12.75">
      <c r="A13" s="1272"/>
      <c r="B13" s="1272"/>
      <c r="C13" s="1272"/>
      <c r="D13" s="2210" t="s">
        <v>3052</v>
      </c>
      <c r="E13" s="16">
        <f>IF($C$3="是",ROUND($A$3*G13/$B$3,2),ROUND($A$3*(G13-AT13)/$B$3,2))</f>
        <v>95897.74</v>
      </c>
      <c r="F13" s="32"/>
      <c r="G13" s="33">
        <f>H13+AC13+AT13</f>
        <v>193040.62000000002</v>
      </c>
      <c r="H13" s="20">
        <f>SUMIF(I$12:AB$12,"总值",I13:AB13)</f>
        <v>192636.23</v>
      </c>
      <c r="I13" s="2211">
        <f>抵押物情况汇总!L43</f>
        <v>192636.23</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404.39</v>
      </c>
      <c r="AD13" s="2212"/>
      <c r="AE13" s="2212"/>
      <c r="AF13" s="2212"/>
      <c r="AG13" s="2212"/>
      <c r="AH13" s="2212"/>
      <c r="AI13" s="2212"/>
      <c r="AJ13" s="2212"/>
      <c r="AK13" s="2212"/>
      <c r="AL13" s="2212">
        <f>抵押物情况汇总!L48</f>
        <v>404.39</v>
      </c>
      <c r="AM13" s="2212"/>
      <c r="AN13" s="2212"/>
      <c r="AO13" s="2212"/>
      <c r="AP13" s="2212"/>
      <c r="AQ13" s="2212"/>
      <c r="AR13" s="2212"/>
      <c r="AS13" s="2212"/>
      <c r="AT13" s="2213"/>
      <c r="AU13" s="2214"/>
      <c r="AV13" s="11">
        <f t="shared" ref="AV13:AX17" si="6">A13</f>
        <v>0</v>
      </c>
      <c r="AW13" s="11">
        <f t="shared" si="6"/>
        <v>0</v>
      </c>
      <c r="AX13" s="11">
        <f t="shared" si="6"/>
        <v>0</v>
      </c>
      <c r="AY13" s="1806">
        <f>ROUND($AY$6*AZ13/$AZ$5,2)</f>
        <v>95897.74</v>
      </c>
      <c r="AZ13" s="16">
        <f>BA13+BL13</f>
        <v>193040.62000000002</v>
      </c>
      <c r="BA13" s="16">
        <f>SUM(BB13:BK13)</f>
        <v>192636.23</v>
      </c>
      <c r="BB13" s="16">
        <f>IF($D13="是",I13-J13,0)</f>
        <v>192636.23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404.39</v>
      </c>
      <c r="BM13" s="16">
        <f>IF($D13="是",AD13-AE13,0)</f>
        <v>0</v>
      </c>
      <c r="BN13" s="16">
        <f>IF($D13="是",AF13-AG13,0)</f>
        <v>0</v>
      </c>
      <c r="BO13" s="16">
        <f>IF($D13="是",AH13-AI13,0)</f>
        <v>0</v>
      </c>
      <c r="BP13" s="16">
        <f>IF($D13="是",AJ13-AK13,0)</f>
        <v>0</v>
      </c>
      <c r="BQ13" s="16">
        <f>IF($D13="是",AL13-AM13,0)</f>
        <v>404.39</v>
      </c>
      <c r="BR13" s="16">
        <f>IF($D13="是",AN13-AO13,0)</f>
        <v>0</v>
      </c>
      <c r="BS13" s="16">
        <f>IF($D13="是",AP13-AQ13,0)</f>
        <v>0</v>
      </c>
      <c r="BT13" s="22">
        <f>IF($D13="是",AR13-AS13,0)</f>
        <v>0</v>
      </c>
    </row>
    <row r="14" spans="1:72" s="2164" customFormat="1" ht="12.75">
      <c r="A14" s="1272"/>
      <c r="B14" s="1272"/>
      <c r="C14" s="2150"/>
      <c r="D14" s="2210"/>
      <c r="E14" s="16">
        <f>IF($C$3="是",ROUND($A$3*G14/$B$3,2),ROUND($A$3*(G14-AT14)/$B$3,2))</f>
        <v>0</v>
      </c>
      <c r="F14" s="32"/>
      <c r="G14" s="33">
        <f>H14+AC14+AT14</f>
        <v>0</v>
      </c>
      <c r="H14" s="20">
        <f>SUMIF(I$12:AB$12,"总值",I14:AB14)</f>
        <v>0</v>
      </c>
      <c r="I14" s="2211"/>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2"/>
      <c r="B15" s="1272"/>
      <c r="C15" s="2150"/>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2"/>
      <c r="B16" s="1272"/>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2"/>
      <c r="B17" s="1272"/>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12" t="s">
        <v>0</v>
      </c>
      <c r="B1" s="3212" t="s">
        <v>4</v>
      </c>
      <c r="C1" s="3212" t="s">
        <v>5</v>
      </c>
      <c r="D1" s="3213" t="s">
        <v>53</v>
      </c>
      <c r="E1" s="3213" t="s">
        <v>54</v>
      </c>
      <c r="F1" s="3213"/>
      <c r="G1" s="3213"/>
      <c r="H1" s="3213"/>
      <c r="I1" s="3213"/>
      <c r="J1" s="3213"/>
      <c r="K1" s="3213"/>
      <c r="L1" s="3213"/>
      <c r="M1" s="3213"/>
    </row>
    <row r="2" spans="1:13" ht="27" customHeight="1">
      <c r="A2" s="3212"/>
      <c r="B2" s="3212"/>
      <c r="C2" s="3212"/>
      <c r="D2" s="3213"/>
      <c r="E2" s="3213" t="s">
        <v>37</v>
      </c>
      <c r="F2" s="3213" t="s">
        <v>38</v>
      </c>
      <c r="G2" s="3213"/>
      <c r="H2" s="3213"/>
      <c r="I2" s="3213"/>
      <c r="J2" s="3213" t="s">
        <v>39</v>
      </c>
      <c r="K2" s="3213"/>
      <c r="L2" s="3213"/>
      <c r="M2" s="3213"/>
    </row>
    <row r="3" spans="1:13" ht="28.5">
      <c r="A3" s="3212"/>
      <c r="B3" s="3212"/>
      <c r="C3" s="3212"/>
      <c r="D3" s="3213"/>
      <c r="E3" s="321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13" t="s">
        <v>55</v>
      </c>
      <c r="B9" s="3213"/>
      <c r="C9" s="321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2:AT72"/>
  <sheetViews>
    <sheetView zoomScale="85" zoomScaleNormal="85" workbookViewId="0">
      <selection activeCell="L19" sqref="L19"/>
    </sheetView>
  </sheetViews>
  <sheetFormatPr defaultColWidth="10.875" defaultRowHeight="16.5"/>
  <cols>
    <col min="1" max="1" width="2.125" style="2953" customWidth="1"/>
    <col min="2" max="2" width="6.5" style="2954" customWidth="1"/>
    <col min="3" max="4" width="11" style="2955" customWidth="1"/>
    <col min="5" max="5" width="11.375" style="2955" customWidth="1"/>
    <col min="6" max="8" width="8.875" style="2955" customWidth="1"/>
    <col min="9" max="9" width="12.875" style="2955" customWidth="1"/>
    <col min="10" max="10" width="10.875" style="2955" customWidth="1"/>
    <col min="11" max="11" width="17.75" style="2956" customWidth="1"/>
    <col min="12" max="13" width="11.375" style="2955" customWidth="1"/>
    <col min="14" max="14" width="11.375" style="3013" customWidth="1"/>
    <col min="15" max="15" width="11.375" style="2955" customWidth="1"/>
    <col min="16" max="16" width="22.875" style="2955" customWidth="1"/>
    <col min="17" max="17" width="11.375" style="2980" customWidth="1"/>
    <col min="18" max="18" width="21.125" style="2956" customWidth="1"/>
    <col min="19" max="19" width="9.25" style="2956" customWidth="1"/>
    <col min="20" max="20" width="9.25" style="2955" customWidth="1"/>
    <col min="21" max="21" width="13.625" style="2955" customWidth="1"/>
    <col min="22" max="22" width="8.5" style="2954" customWidth="1"/>
    <col min="23" max="25" width="11.25" style="2954" customWidth="1"/>
    <col min="26" max="26" width="10.875" style="2957"/>
    <col min="27" max="28" width="10.875" style="3028"/>
    <col min="29" max="29" width="10.875" style="2954"/>
    <col min="30" max="30" width="10.875" style="3029"/>
    <col min="31" max="32" width="10.875" style="2954"/>
    <col min="33" max="33" width="0" style="3037" hidden="1" customWidth="1"/>
    <col min="34" max="38" width="10.875" style="3021"/>
    <col min="39" max="46" width="10.875" style="3022"/>
    <col min="47" max="16384" width="10.875" style="2951"/>
  </cols>
  <sheetData>
    <row r="2" spans="1:46">
      <c r="B2" s="3012" t="s">
        <v>3310</v>
      </c>
    </row>
    <row r="3" spans="1:46" ht="12" customHeight="1" thickBot="1">
      <c r="B3"/>
    </row>
    <row r="4" spans="1:46" s="2952" customFormat="1" ht="21.75" customHeight="1">
      <c r="A4" s="2958"/>
      <c r="B4" s="3225" t="s">
        <v>3053</v>
      </c>
      <c r="C4" s="3227" t="s">
        <v>3054</v>
      </c>
      <c r="D4" s="3227" t="s">
        <v>3055</v>
      </c>
      <c r="E4" s="3227" t="s">
        <v>3056</v>
      </c>
      <c r="F4" s="3227"/>
      <c r="G4" s="3227"/>
      <c r="H4" s="3227"/>
      <c r="I4" s="3227"/>
      <c r="J4" s="3227"/>
      <c r="K4" s="3227" t="s">
        <v>3057</v>
      </c>
      <c r="L4" s="3227"/>
      <c r="M4" s="3227"/>
      <c r="N4" s="3227"/>
      <c r="O4" s="3227"/>
      <c r="P4" s="3227" t="s">
        <v>3058</v>
      </c>
      <c r="Q4" s="3221" t="s">
        <v>3059</v>
      </c>
      <c r="R4" s="3221" t="s">
        <v>3060</v>
      </c>
      <c r="S4" s="3221" t="s">
        <v>3061</v>
      </c>
      <c r="T4" s="3230" t="s">
        <v>3062</v>
      </c>
      <c r="U4" s="3230" t="s">
        <v>3063</v>
      </c>
      <c r="V4" s="3215" t="s">
        <v>3064</v>
      </c>
      <c r="W4" s="3215" t="s">
        <v>3065</v>
      </c>
      <c r="X4" s="3215" t="s">
        <v>3066</v>
      </c>
      <c r="Y4" s="3223" t="s">
        <v>3067</v>
      </c>
      <c r="Z4" s="2959"/>
      <c r="AA4" s="3219" t="s">
        <v>3312</v>
      </c>
      <c r="AB4" s="3215" t="s">
        <v>3315</v>
      </c>
      <c r="AC4" s="3215" t="s">
        <v>3313</v>
      </c>
      <c r="AD4" s="3217" t="s">
        <v>3314</v>
      </c>
      <c r="AE4" s="3215" t="s">
        <v>3311</v>
      </c>
      <c r="AF4" s="3215" t="s">
        <v>7076</v>
      </c>
      <c r="AG4" s="3038"/>
      <c r="AH4" s="3023"/>
      <c r="AI4" s="3023"/>
      <c r="AJ4" s="3023"/>
      <c r="AK4" s="3023"/>
      <c r="AL4" s="3023"/>
      <c r="AM4" s="3024"/>
      <c r="AN4" s="3024"/>
      <c r="AO4" s="3024"/>
      <c r="AP4" s="3024"/>
      <c r="AQ4" s="3024"/>
      <c r="AR4" s="3024"/>
      <c r="AS4" s="3024"/>
      <c r="AT4" s="3024"/>
    </row>
    <row r="5" spans="1:46" s="2952" customFormat="1" ht="21.75" customHeight="1">
      <c r="A5" s="2958"/>
      <c r="B5" s="3226"/>
      <c r="C5" s="3228"/>
      <c r="D5" s="3228"/>
      <c r="E5" s="2960" t="s">
        <v>3068</v>
      </c>
      <c r="F5" s="2960" t="s">
        <v>3069</v>
      </c>
      <c r="G5" s="2960" t="s">
        <v>3070</v>
      </c>
      <c r="H5" s="2960" t="s">
        <v>3071</v>
      </c>
      <c r="I5" s="2960" t="s">
        <v>3072</v>
      </c>
      <c r="J5" s="2960" t="s">
        <v>3073</v>
      </c>
      <c r="K5" s="2961" t="s">
        <v>3074</v>
      </c>
      <c r="L5" s="2960" t="s">
        <v>3075</v>
      </c>
      <c r="M5" s="2960" t="s">
        <v>3076</v>
      </c>
      <c r="N5" s="3014" t="s">
        <v>3077</v>
      </c>
      <c r="O5" s="2960" t="s">
        <v>3078</v>
      </c>
      <c r="P5" s="3228"/>
      <c r="Q5" s="3222"/>
      <c r="R5" s="3222"/>
      <c r="S5" s="3222"/>
      <c r="T5" s="3231"/>
      <c r="U5" s="3231"/>
      <c r="V5" s="3216"/>
      <c r="W5" s="3216"/>
      <c r="X5" s="3216"/>
      <c r="Y5" s="3224"/>
      <c r="Z5" s="2959"/>
      <c r="AA5" s="3220"/>
      <c r="AB5" s="3216"/>
      <c r="AC5" s="3216"/>
      <c r="AD5" s="3218"/>
      <c r="AE5" s="3216"/>
      <c r="AF5" s="3216"/>
      <c r="AG5" s="3038"/>
      <c r="AH5" s="3023"/>
      <c r="AI5" s="3023"/>
      <c r="AJ5" s="3023"/>
      <c r="AK5" s="3023"/>
      <c r="AL5" s="3023"/>
      <c r="AM5" s="3024"/>
      <c r="AN5" s="3024"/>
      <c r="AO5" s="3024"/>
      <c r="AP5" s="3024"/>
      <c r="AQ5" s="3024"/>
      <c r="AR5" s="3024"/>
      <c r="AS5" s="3024"/>
      <c r="AT5" s="3024"/>
    </row>
    <row r="6" spans="1:46" ht="36" customHeight="1">
      <c r="B6" s="3011">
        <v>1</v>
      </c>
      <c r="C6" s="3007" t="s">
        <v>7072</v>
      </c>
      <c r="D6" s="3007" t="s">
        <v>7073</v>
      </c>
      <c r="E6" s="3007" t="s">
        <v>3080</v>
      </c>
      <c r="F6" s="3007">
        <v>4876.2</v>
      </c>
      <c r="G6" s="3007" t="s">
        <v>3081</v>
      </c>
      <c r="H6" s="3007" t="s">
        <v>3082</v>
      </c>
      <c r="I6" s="3007" t="s">
        <v>3083</v>
      </c>
      <c r="J6" s="3007" t="s">
        <v>3084</v>
      </c>
      <c r="K6" s="3007" t="s">
        <v>3085</v>
      </c>
      <c r="L6" s="3007">
        <v>16293.89</v>
      </c>
      <c r="M6" s="3007" t="s">
        <v>3086</v>
      </c>
      <c r="N6" s="3015">
        <v>31762</v>
      </c>
      <c r="O6" s="3007">
        <v>5555545</v>
      </c>
      <c r="P6" s="3007" t="s">
        <v>3087</v>
      </c>
      <c r="Q6" s="3008" t="s">
        <v>3088</v>
      </c>
      <c r="R6" s="3007" t="s">
        <v>3089</v>
      </c>
      <c r="S6" s="3007" t="s">
        <v>3090</v>
      </c>
      <c r="T6" s="3007" t="s">
        <v>3091</v>
      </c>
      <c r="U6" s="3007"/>
      <c r="V6" s="3009" t="s">
        <v>3092</v>
      </c>
      <c r="W6" s="3009" t="s">
        <v>3093</v>
      </c>
      <c r="X6" s="3009" t="s">
        <v>3093</v>
      </c>
      <c r="Y6" s="3010" t="s">
        <v>3093</v>
      </c>
      <c r="AA6" s="3028">
        <f>O6/L6</f>
        <v>340.95878884661676</v>
      </c>
      <c r="AB6" s="3028" t="s">
        <v>3318</v>
      </c>
      <c r="AC6" s="2954">
        <f t="shared" ref="AC6:AC42" si="0">YEAR(N6)</f>
        <v>1986</v>
      </c>
      <c r="AD6" s="3029">
        <f>ROUND(1-(2019-AC6)/50,2)</f>
        <v>0.34</v>
      </c>
      <c r="AE6" s="2954">
        <v>26</v>
      </c>
      <c r="AF6" s="2954">
        <f t="shared" ref="AF6:AF42" si="1">AE6*L6*12</f>
        <v>5083693.68</v>
      </c>
      <c r="AG6" s="3028">
        <f t="shared" ref="AG6:AG42" si="2">AD6*L6</f>
        <v>5539.9225999999999</v>
      </c>
    </row>
    <row r="7" spans="1:46" ht="36" customHeight="1">
      <c r="B7" s="3011">
        <v>2</v>
      </c>
      <c r="C7" s="3007" t="s">
        <v>3094</v>
      </c>
      <c r="D7" s="3007" t="s">
        <v>3079</v>
      </c>
      <c r="E7" s="3007" t="s">
        <v>3095</v>
      </c>
      <c r="F7" s="3007">
        <v>4981.8</v>
      </c>
      <c r="G7" s="3007" t="s">
        <v>3081</v>
      </c>
      <c r="H7" s="3007" t="s">
        <v>3082</v>
      </c>
      <c r="I7" s="3007" t="s">
        <v>3083</v>
      </c>
      <c r="J7" s="3007" t="s">
        <v>3084</v>
      </c>
      <c r="K7" s="3007" t="s">
        <v>3096</v>
      </c>
      <c r="L7" s="3007">
        <v>16317.66</v>
      </c>
      <c r="M7" s="3007" t="s">
        <v>3086</v>
      </c>
      <c r="N7" s="3015">
        <v>33116</v>
      </c>
      <c r="O7" s="3007">
        <v>5563328</v>
      </c>
      <c r="P7" s="3007" t="s">
        <v>3087</v>
      </c>
      <c r="Q7" s="3008" t="s">
        <v>3097</v>
      </c>
      <c r="R7" s="3007" t="s">
        <v>3098</v>
      </c>
      <c r="S7" s="3007" t="s">
        <v>3090</v>
      </c>
      <c r="T7" s="3007" t="s">
        <v>3091</v>
      </c>
      <c r="U7" s="3007"/>
      <c r="V7" s="3009" t="s">
        <v>3092</v>
      </c>
      <c r="W7" s="3009" t="s">
        <v>3093</v>
      </c>
      <c r="X7" s="3009" t="s">
        <v>3093</v>
      </c>
      <c r="Y7" s="3010" t="s">
        <v>3093</v>
      </c>
      <c r="AA7" s="3028">
        <f t="shared" ref="AA7:AA42" si="3">O7/L7</f>
        <v>340.93908072603546</v>
      </c>
      <c r="AB7" s="3028" t="s">
        <v>3318</v>
      </c>
      <c r="AC7" s="2954">
        <f t="shared" si="0"/>
        <v>1990</v>
      </c>
      <c r="AD7" s="3029">
        <f t="shared" ref="AD7:AD11" si="4">ROUND(1-(2019-AC7)/50,2)</f>
        <v>0.42</v>
      </c>
      <c r="AE7" s="2954">
        <f>AE6</f>
        <v>26</v>
      </c>
      <c r="AF7" s="2954">
        <f t="shared" si="1"/>
        <v>5091109.92</v>
      </c>
      <c r="AG7" s="3028">
        <f t="shared" si="2"/>
        <v>6853.4171999999999</v>
      </c>
    </row>
    <row r="8" spans="1:46" ht="36" customHeight="1">
      <c r="B8" s="3011">
        <v>3</v>
      </c>
      <c r="C8" s="3007" t="s">
        <v>3099</v>
      </c>
      <c r="D8" s="3007" t="s">
        <v>3100</v>
      </c>
      <c r="E8" s="3007" t="s">
        <v>3101</v>
      </c>
      <c r="F8" s="3007">
        <v>5266.7</v>
      </c>
      <c r="G8" s="3007" t="s">
        <v>3102</v>
      </c>
      <c r="H8" s="3007" t="s">
        <v>3103</v>
      </c>
      <c r="I8" s="3007" t="s">
        <v>3104</v>
      </c>
      <c r="J8" s="3007" t="s">
        <v>3105</v>
      </c>
      <c r="K8" s="3007" t="s">
        <v>3106</v>
      </c>
      <c r="L8" s="3007">
        <v>16317.66</v>
      </c>
      <c r="M8" s="3007" t="s">
        <v>3107</v>
      </c>
      <c r="N8" s="3015">
        <v>33204</v>
      </c>
      <c r="O8" s="3007">
        <v>6000000</v>
      </c>
      <c r="P8" s="3007" t="s">
        <v>3108</v>
      </c>
      <c r="Q8" s="3008" t="s">
        <v>3106</v>
      </c>
      <c r="R8" s="3007" t="s">
        <v>3109</v>
      </c>
      <c r="S8" s="3007" t="s">
        <v>3110</v>
      </c>
      <c r="T8" s="3007" t="s">
        <v>3111</v>
      </c>
      <c r="U8" s="3007"/>
      <c r="V8" s="3009" t="s">
        <v>3112</v>
      </c>
      <c r="W8" s="3009" t="s">
        <v>3113</v>
      </c>
      <c r="X8" s="3009" t="s">
        <v>3113</v>
      </c>
      <c r="Y8" s="3010" t="s">
        <v>3113</v>
      </c>
      <c r="AA8" s="3028">
        <f t="shared" si="3"/>
        <v>367.69978048323105</v>
      </c>
      <c r="AB8" s="3028" t="s">
        <v>3301</v>
      </c>
      <c r="AC8" s="2954">
        <f t="shared" si="0"/>
        <v>1990</v>
      </c>
      <c r="AD8" s="3029">
        <f t="shared" si="4"/>
        <v>0.42</v>
      </c>
      <c r="AE8" s="2954">
        <f>AE6</f>
        <v>26</v>
      </c>
      <c r="AF8" s="2954">
        <f t="shared" si="1"/>
        <v>5091109.92</v>
      </c>
      <c r="AG8" s="3028">
        <f t="shared" si="2"/>
        <v>6853.4171999999999</v>
      </c>
    </row>
    <row r="9" spans="1:46" ht="36" customHeight="1">
      <c r="B9" s="3011">
        <v>4</v>
      </c>
      <c r="C9" s="3007" t="s">
        <v>3114</v>
      </c>
      <c r="D9" s="3007" t="s">
        <v>3100</v>
      </c>
      <c r="E9" s="3007" t="s">
        <v>3115</v>
      </c>
      <c r="F9" s="3007">
        <v>5079.91</v>
      </c>
      <c r="G9" s="3007" t="s">
        <v>3116</v>
      </c>
      <c r="H9" s="3007" t="s">
        <v>3117</v>
      </c>
      <c r="I9" s="3007" t="s">
        <v>3118</v>
      </c>
      <c r="J9" s="3007" t="s">
        <v>3119</v>
      </c>
      <c r="K9" s="3007" t="s">
        <v>3120</v>
      </c>
      <c r="L9" s="3007">
        <v>10795</v>
      </c>
      <c r="M9" s="3007" t="s">
        <v>3107</v>
      </c>
      <c r="N9" s="3015">
        <v>33959</v>
      </c>
      <c r="O9" s="3007">
        <v>17593230</v>
      </c>
      <c r="P9" s="3007" t="s">
        <v>3108</v>
      </c>
      <c r="Q9" s="3008" t="s">
        <v>3121</v>
      </c>
      <c r="R9" s="3007" t="s">
        <v>3109</v>
      </c>
      <c r="S9" s="3007" t="s">
        <v>3110</v>
      </c>
      <c r="T9" s="3007" t="s">
        <v>3111</v>
      </c>
      <c r="U9" s="3007" t="s">
        <v>3122</v>
      </c>
      <c r="V9" s="3009" t="s">
        <v>3112</v>
      </c>
      <c r="W9" s="3009" t="s">
        <v>3113</v>
      </c>
      <c r="X9" s="3009" t="s">
        <v>3113</v>
      </c>
      <c r="Y9" s="3010" t="s">
        <v>3113</v>
      </c>
      <c r="AA9" s="3030">
        <f t="shared" si="3"/>
        <v>1629.7572950440019</v>
      </c>
      <c r="AB9" s="3030" t="s">
        <v>3319</v>
      </c>
      <c r="AC9" s="2954">
        <f t="shared" si="0"/>
        <v>1992</v>
      </c>
      <c r="AD9" s="3029">
        <f t="shared" si="4"/>
        <v>0.46</v>
      </c>
      <c r="AE9" s="3031">
        <f>AE6</f>
        <v>26</v>
      </c>
      <c r="AF9" s="2954">
        <f t="shared" si="1"/>
        <v>3368040</v>
      </c>
      <c r="AG9" s="3028">
        <f t="shared" si="2"/>
        <v>4965.7</v>
      </c>
    </row>
    <row r="10" spans="1:46" ht="36" customHeight="1">
      <c r="B10" s="3011">
        <v>5</v>
      </c>
      <c r="C10" s="3007" t="s">
        <v>3123</v>
      </c>
      <c r="D10" s="3007" t="s">
        <v>7075</v>
      </c>
      <c r="E10" s="3007" t="s">
        <v>3124</v>
      </c>
      <c r="F10" s="3007">
        <v>4680.8</v>
      </c>
      <c r="G10" s="3007" t="s">
        <v>3102</v>
      </c>
      <c r="H10" s="3007" t="s">
        <v>3117</v>
      </c>
      <c r="I10" s="3007" t="s">
        <v>7074</v>
      </c>
      <c r="J10" s="3007" t="s">
        <v>3105</v>
      </c>
      <c r="K10" s="3007" t="s">
        <v>3125</v>
      </c>
      <c r="L10" s="3007">
        <v>2594.7399999999998</v>
      </c>
      <c r="M10" s="3007" t="s">
        <v>3126</v>
      </c>
      <c r="N10" s="3015">
        <v>35016</v>
      </c>
      <c r="O10" s="3007">
        <v>2521200</v>
      </c>
      <c r="P10" s="3007" t="s">
        <v>3108</v>
      </c>
      <c r="Q10" s="3008" t="s">
        <v>3127</v>
      </c>
      <c r="R10" s="3007" t="s">
        <v>3109</v>
      </c>
      <c r="S10" s="3007" t="s">
        <v>3110</v>
      </c>
      <c r="T10" s="3007" t="s">
        <v>3111</v>
      </c>
      <c r="U10" s="3007"/>
      <c r="V10" s="3009" t="s">
        <v>3112</v>
      </c>
      <c r="W10" s="3009" t="s">
        <v>3113</v>
      </c>
      <c r="X10" s="3009" t="s">
        <v>3113</v>
      </c>
      <c r="Y10" s="3010" t="s">
        <v>3113</v>
      </c>
      <c r="AA10" s="3028">
        <f t="shared" si="3"/>
        <v>971.65804666363499</v>
      </c>
      <c r="AB10" s="3028" t="s">
        <v>3301</v>
      </c>
      <c r="AC10" s="2954">
        <f t="shared" si="0"/>
        <v>1995</v>
      </c>
      <c r="AD10" s="3029">
        <f t="shared" si="4"/>
        <v>0.52</v>
      </c>
      <c r="AE10" s="2954">
        <f>AE6</f>
        <v>26</v>
      </c>
      <c r="AF10" s="2954">
        <f t="shared" si="1"/>
        <v>809558.87999999989</v>
      </c>
      <c r="AG10" s="3028">
        <f t="shared" si="2"/>
        <v>1349.2647999999999</v>
      </c>
    </row>
    <row r="11" spans="1:46" ht="36" customHeight="1">
      <c r="B11" s="3011">
        <v>6</v>
      </c>
      <c r="C11" s="3007" t="s">
        <v>3128</v>
      </c>
      <c r="D11" s="3007" t="s">
        <v>3100</v>
      </c>
      <c r="E11" s="3007" t="s">
        <v>3124</v>
      </c>
      <c r="F11" s="3007">
        <v>4680.8</v>
      </c>
      <c r="G11" s="3007" t="s">
        <v>3102</v>
      </c>
      <c r="H11" s="3007" t="s">
        <v>3117</v>
      </c>
      <c r="I11" s="3007" t="s">
        <v>3104</v>
      </c>
      <c r="J11" s="3007" t="s">
        <v>3105</v>
      </c>
      <c r="K11" s="3007" t="s">
        <v>3129</v>
      </c>
      <c r="L11" s="3007">
        <v>12484.96</v>
      </c>
      <c r="M11" s="3007" t="s">
        <v>3126</v>
      </c>
      <c r="N11" s="3015">
        <v>35016</v>
      </c>
      <c r="O11" s="3007">
        <v>12135400</v>
      </c>
      <c r="P11" s="3007" t="s">
        <v>3108</v>
      </c>
      <c r="Q11" s="3008" t="s">
        <v>3127</v>
      </c>
      <c r="R11" s="3007" t="s">
        <v>3109</v>
      </c>
      <c r="S11" s="3007" t="s">
        <v>3110</v>
      </c>
      <c r="T11" s="3007" t="s">
        <v>3111</v>
      </c>
      <c r="U11" s="3007"/>
      <c r="V11" s="3009" t="s">
        <v>3112</v>
      </c>
      <c r="W11" s="3009" t="s">
        <v>3113</v>
      </c>
      <c r="X11" s="3009" t="s">
        <v>3113</v>
      </c>
      <c r="Y11" s="3010" t="s">
        <v>3113</v>
      </c>
      <c r="AA11" s="3028">
        <f t="shared" si="3"/>
        <v>972.00151221950262</v>
      </c>
      <c r="AB11" s="3028" t="s">
        <v>3301</v>
      </c>
      <c r="AC11" s="2954">
        <f t="shared" si="0"/>
        <v>1995</v>
      </c>
      <c r="AD11" s="3029">
        <f t="shared" si="4"/>
        <v>0.52</v>
      </c>
      <c r="AE11" s="2954">
        <f>AE6</f>
        <v>26</v>
      </c>
      <c r="AF11" s="2954">
        <f t="shared" si="1"/>
        <v>3895307.5199999996</v>
      </c>
      <c r="AG11" s="3028">
        <f t="shared" si="2"/>
        <v>6492.1791999999996</v>
      </c>
    </row>
    <row r="12" spans="1:46" ht="36" customHeight="1">
      <c r="B12" s="3001">
        <v>7</v>
      </c>
      <c r="C12" s="3002" t="s">
        <v>3130</v>
      </c>
      <c r="D12" s="3002" t="s">
        <v>3100</v>
      </c>
      <c r="E12" s="3002" t="s">
        <v>3131</v>
      </c>
      <c r="F12" s="3002">
        <v>1426.6</v>
      </c>
      <c r="G12" s="3002" t="s">
        <v>3116</v>
      </c>
      <c r="H12" s="3002" t="s">
        <v>3132</v>
      </c>
      <c r="I12" s="3002" t="s">
        <v>3133</v>
      </c>
      <c r="J12" s="3002" t="s">
        <v>3119</v>
      </c>
      <c r="K12" s="3002" t="s">
        <v>3134</v>
      </c>
      <c r="L12" s="3002">
        <v>3150.35</v>
      </c>
      <c r="M12" s="3002" t="s">
        <v>3135</v>
      </c>
      <c r="N12" s="3016">
        <v>33949</v>
      </c>
      <c r="O12" s="3002">
        <v>4246293</v>
      </c>
      <c r="P12" s="3002" t="s">
        <v>3108</v>
      </c>
      <c r="Q12" s="3003" t="s">
        <v>3136</v>
      </c>
      <c r="R12" s="3002" t="s">
        <v>3137</v>
      </c>
      <c r="S12" s="3002" t="s">
        <v>3110</v>
      </c>
      <c r="T12" s="3002" t="s">
        <v>3138</v>
      </c>
      <c r="U12" s="3002"/>
      <c r="V12" s="3004" t="s">
        <v>3132</v>
      </c>
      <c r="W12" s="3004" t="s">
        <v>3113</v>
      </c>
      <c r="X12" s="3004" t="s">
        <v>3113</v>
      </c>
      <c r="Y12" s="3005" t="s">
        <v>3113</v>
      </c>
      <c r="AA12" s="3028">
        <f t="shared" si="3"/>
        <v>1347.8797593918136</v>
      </c>
      <c r="AB12" s="3028" t="s">
        <v>3320</v>
      </c>
      <c r="AC12" s="2954">
        <f t="shared" si="0"/>
        <v>1992</v>
      </c>
      <c r="AD12" s="3029">
        <f>ROUND(1-(2019-AC12)/50,2)</f>
        <v>0.46</v>
      </c>
      <c r="AE12" s="2954">
        <v>20</v>
      </c>
      <c r="AF12" s="2954">
        <f t="shared" si="1"/>
        <v>756084</v>
      </c>
      <c r="AG12" s="3028">
        <f t="shared" si="2"/>
        <v>1449.1610000000001</v>
      </c>
    </row>
    <row r="13" spans="1:46" ht="36" customHeight="1">
      <c r="B13" s="3001">
        <v>8</v>
      </c>
      <c r="C13" s="3002" t="s">
        <v>3139</v>
      </c>
      <c r="D13" s="3002" t="s">
        <v>3100</v>
      </c>
      <c r="E13" s="3002" t="s">
        <v>3140</v>
      </c>
      <c r="F13" s="3002">
        <v>1478</v>
      </c>
      <c r="G13" s="3002" t="s">
        <v>3116</v>
      </c>
      <c r="H13" s="3002" t="s">
        <v>3132</v>
      </c>
      <c r="I13" s="3002" t="s">
        <v>3133</v>
      </c>
      <c r="J13" s="3002" t="s">
        <v>3119</v>
      </c>
      <c r="K13" s="3002" t="s">
        <v>3141</v>
      </c>
      <c r="L13" s="3002">
        <v>3179</v>
      </c>
      <c r="M13" s="3002" t="s">
        <v>3135</v>
      </c>
      <c r="N13" s="3016">
        <v>33966</v>
      </c>
      <c r="O13" s="3002">
        <v>4284910</v>
      </c>
      <c r="P13" s="3002" t="s">
        <v>3108</v>
      </c>
      <c r="Q13" s="3003" t="s">
        <v>3142</v>
      </c>
      <c r="R13" s="3002" t="s">
        <v>3135</v>
      </c>
      <c r="S13" s="3002" t="s">
        <v>3110</v>
      </c>
      <c r="T13" s="3002" t="s">
        <v>3138</v>
      </c>
      <c r="U13" s="3002"/>
      <c r="V13" s="3004" t="s">
        <v>3132</v>
      </c>
      <c r="W13" s="3004" t="s">
        <v>3113</v>
      </c>
      <c r="X13" s="3004" t="s">
        <v>3113</v>
      </c>
      <c r="Y13" s="3005" t="s">
        <v>3113</v>
      </c>
      <c r="AA13" s="3028">
        <f t="shared" si="3"/>
        <v>1347.8798364265492</v>
      </c>
      <c r="AB13" s="3028" t="s">
        <v>3320</v>
      </c>
      <c r="AC13" s="2954">
        <f t="shared" si="0"/>
        <v>1992</v>
      </c>
      <c r="AD13" s="3029">
        <f t="shared" ref="AD13:AD19" si="5">ROUND(1-(2019-AC13)/50,2)</f>
        <v>0.46</v>
      </c>
      <c r="AE13" s="2954">
        <v>20</v>
      </c>
      <c r="AF13" s="2954">
        <f t="shared" si="1"/>
        <v>762960</v>
      </c>
      <c r="AG13" s="3028">
        <f t="shared" si="2"/>
        <v>1462.3400000000001</v>
      </c>
    </row>
    <row r="14" spans="1:46" ht="36" customHeight="1">
      <c r="B14" s="3001">
        <v>9</v>
      </c>
      <c r="C14" s="3002" t="s">
        <v>3143</v>
      </c>
      <c r="D14" s="3002" t="s">
        <v>3100</v>
      </c>
      <c r="E14" s="3002" t="s">
        <v>3144</v>
      </c>
      <c r="F14" s="3002">
        <v>1039.0999999999999</v>
      </c>
      <c r="G14" s="3002" t="s">
        <v>3116</v>
      </c>
      <c r="H14" s="3002" t="s">
        <v>3117</v>
      </c>
      <c r="I14" s="3002" t="s">
        <v>3133</v>
      </c>
      <c r="J14" s="3002" t="s">
        <v>3119</v>
      </c>
      <c r="K14" s="3002" t="s">
        <v>3145</v>
      </c>
      <c r="L14" s="3002">
        <v>1904.3</v>
      </c>
      <c r="M14" s="3002" t="s">
        <v>3146</v>
      </c>
      <c r="N14" s="3016">
        <v>33966</v>
      </c>
      <c r="O14" s="3002">
        <v>2566768</v>
      </c>
      <c r="P14" s="3002" t="s">
        <v>3108</v>
      </c>
      <c r="Q14" s="3003" t="s">
        <v>3147</v>
      </c>
      <c r="R14" s="3002" t="s">
        <v>3135</v>
      </c>
      <c r="S14" s="3002" t="s">
        <v>3110</v>
      </c>
      <c r="T14" s="3002" t="s">
        <v>3138</v>
      </c>
      <c r="U14" s="3002"/>
      <c r="V14" s="3004" t="s">
        <v>3132</v>
      </c>
      <c r="W14" s="3004" t="s">
        <v>3113</v>
      </c>
      <c r="X14" s="3004" t="s">
        <v>3113</v>
      </c>
      <c r="Y14" s="3005" t="s">
        <v>3113</v>
      </c>
      <c r="AA14" s="3028">
        <f t="shared" si="3"/>
        <v>1347.8800609147718</v>
      </c>
      <c r="AB14" s="3028" t="s">
        <v>3320</v>
      </c>
      <c r="AC14" s="2954">
        <f t="shared" si="0"/>
        <v>1992</v>
      </c>
      <c r="AD14" s="3029">
        <f t="shared" si="5"/>
        <v>0.46</v>
      </c>
      <c r="AE14" s="2954">
        <v>20</v>
      </c>
      <c r="AF14" s="2954">
        <f t="shared" si="1"/>
        <v>457032</v>
      </c>
      <c r="AG14" s="3028">
        <f t="shared" si="2"/>
        <v>875.97800000000007</v>
      </c>
    </row>
    <row r="15" spans="1:46" ht="36" customHeight="1">
      <c r="B15" s="3001">
        <v>10</v>
      </c>
      <c r="C15" s="3002" t="s">
        <v>3148</v>
      </c>
      <c r="D15" s="3002" t="s">
        <v>3100</v>
      </c>
      <c r="E15" s="3002" t="s">
        <v>3149</v>
      </c>
      <c r="F15" s="3002">
        <v>1466.1</v>
      </c>
      <c r="G15" s="3002" t="s">
        <v>3116</v>
      </c>
      <c r="H15" s="3002" t="s">
        <v>3132</v>
      </c>
      <c r="I15" s="3002" t="s">
        <v>3133</v>
      </c>
      <c r="J15" s="3002" t="s">
        <v>3119</v>
      </c>
      <c r="K15" s="3002" t="s">
        <v>3150</v>
      </c>
      <c r="L15" s="3002">
        <v>3186</v>
      </c>
      <c r="M15" s="3002" t="s">
        <v>3135</v>
      </c>
      <c r="N15" s="3016">
        <v>34187</v>
      </c>
      <c r="O15" s="3002">
        <v>4285170</v>
      </c>
      <c r="P15" s="3002" t="s">
        <v>3108</v>
      </c>
      <c r="Q15" s="3003" t="s">
        <v>3151</v>
      </c>
      <c r="R15" s="3002" t="s">
        <v>3135</v>
      </c>
      <c r="S15" s="3002" t="s">
        <v>3110</v>
      </c>
      <c r="T15" s="3002" t="s">
        <v>3138</v>
      </c>
      <c r="U15" s="3002"/>
      <c r="V15" s="3004" t="s">
        <v>3132</v>
      </c>
      <c r="W15" s="3004" t="s">
        <v>3113</v>
      </c>
      <c r="X15" s="3004" t="s">
        <v>3113</v>
      </c>
      <c r="Y15" s="3005" t="s">
        <v>3113</v>
      </c>
      <c r="AA15" s="3028">
        <f t="shared" si="3"/>
        <v>1345</v>
      </c>
      <c r="AB15" s="3028" t="s">
        <v>3320</v>
      </c>
      <c r="AC15" s="2954">
        <f t="shared" si="0"/>
        <v>1993</v>
      </c>
      <c r="AD15" s="3029">
        <f t="shared" si="5"/>
        <v>0.48</v>
      </c>
      <c r="AE15" s="2954">
        <v>20</v>
      </c>
      <c r="AF15" s="2954">
        <f t="shared" si="1"/>
        <v>764640</v>
      </c>
      <c r="AG15" s="3028">
        <f t="shared" si="2"/>
        <v>1529.28</v>
      </c>
    </row>
    <row r="16" spans="1:46" ht="36" customHeight="1">
      <c r="B16" s="3001">
        <v>11</v>
      </c>
      <c r="C16" s="3002" t="s">
        <v>3152</v>
      </c>
      <c r="D16" s="3002" t="s">
        <v>3100</v>
      </c>
      <c r="E16" s="3002" t="s">
        <v>3153</v>
      </c>
      <c r="F16" s="3002">
        <v>1257.5999999999999</v>
      </c>
      <c r="G16" s="3002" t="s">
        <v>3116</v>
      </c>
      <c r="H16" s="3002" t="s">
        <v>3132</v>
      </c>
      <c r="I16" s="3002" t="s">
        <v>3133</v>
      </c>
      <c r="J16" s="3002" t="s">
        <v>3119</v>
      </c>
      <c r="K16" s="3002" t="s">
        <v>3154</v>
      </c>
      <c r="L16" s="3002">
        <v>2714</v>
      </c>
      <c r="M16" s="3002" t="s">
        <v>3135</v>
      </c>
      <c r="N16" s="3016">
        <v>34211</v>
      </c>
      <c r="O16" s="3002">
        <v>3651687</v>
      </c>
      <c r="P16" s="3002" t="s">
        <v>3108</v>
      </c>
      <c r="Q16" s="3003" t="s">
        <v>3155</v>
      </c>
      <c r="R16" s="3002" t="s">
        <v>3135</v>
      </c>
      <c r="S16" s="3002" t="s">
        <v>3110</v>
      </c>
      <c r="T16" s="3002" t="s">
        <v>3138</v>
      </c>
      <c r="U16" s="3002"/>
      <c r="V16" s="3004" t="s">
        <v>3132</v>
      </c>
      <c r="W16" s="3004" t="s">
        <v>3113</v>
      </c>
      <c r="X16" s="3004" t="s">
        <v>3113</v>
      </c>
      <c r="Y16" s="3005" t="s">
        <v>3113</v>
      </c>
      <c r="AA16" s="3028">
        <f t="shared" si="3"/>
        <v>1345.5</v>
      </c>
      <c r="AB16" s="3028" t="s">
        <v>3320</v>
      </c>
      <c r="AC16" s="2954">
        <f t="shared" si="0"/>
        <v>1993</v>
      </c>
      <c r="AD16" s="3029">
        <f t="shared" si="5"/>
        <v>0.48</v>
      </c>
      <c r="AE16" s="2954">
        <v>20</v>
      </c>
      <c r="AF16" s="2954">
        <f t="shared" si="1"/>
        <v>651360</v>
      </c>
      <c r="AG16" s="3028">
        <f t="shared" si="2"/>
        <v>1302.72</v>
      </c>
    </row>
    <row r="17" spans="2:33" ht="36" customHeight="1">
      <c r="B17" s="3001">
        <v>12</v>
      </c>
      <c r="C17" s="3002" t="s">
        <v>3156</v>
      </c>
      <c r="D17" s="3002" t="s">
        <v>3100</v>
      </c>
      <c r="E17" s="3002" t="s">
        <v>3157</v>
      </c>
      <c r="F17" s="3002">
        <v>1227.4000000000001</v>
      </c>
      <c r="G17" s="3002" t="s">
        <v>3102</v>
      </c>
      <c r="H17" s="3002" t="s">
        <v>3103</v>
      </c>
      <c r="I17" s="3002" t="s">
        <v>3104</v>
      </c>
      <c r="J17" s="3002" t="s">
        <v>3105</v>
      </c>
      <c r="K17" s="3002" t="s">
        <v>3158</v>
      </c>
      <c r="L17" s="3002">
        <v>3427.08</v>
      </c>
      <c r="M17" s="3002" t="s">
        <v>3126</v>
      </c>
      <c r="N17" s="3016">
        <v>34879</v>
      </c>
      <c r="O17" s="3002">
        <v>2737000</v>
      </c>
      <c r="P17" s="3002" t="s">
        <v>3108</v>
      </c>
      <c r="Q17" s="3003" t="s">
        <v>3159</v>
      </c>
      <c r="R17" s="3002" t="s">
        <v>3135</v>
      </c>
      <c r="S17" s="3002" t="s">
        <v>3110</v>
      </c>
      <c r="T17" s="3002" t="s">
        <v>3138</v>
      </c>
      <c r="U17" s="3002"/>
      <c r="V17" s="3004" t="s">
        <v>3132</v>
      </c>
      <c r="W17" s="3004" t="s">
        <v>3113</v>
      </c>
      <c r="X17" s="3004" t="s">
        <v>3113</v>
      </c>
      <c r="Y17" s="3005" t="s">
        <v>3113</v>
      </c>
      <c r="AA17" s="3028">
        <f t="shared" si="3"/>
        <v>798.6390746641456</v>
      </c>
      <c r="AB17" s="3028" t="s">
        <v>3320</v>
      </c>
      <c r="AC17" s="2954">
        <f t="shared" si="0"/>
        <v>1995</v>
      </c>
      <c r="AD17" s="3029">
        <f t="shared" si="5"/>
        <v>0.52</v>
      </c>
      <c r="AE17" s="2954">
        <v>40</v>
      </c>
      <c r="AF17" s="2954">
        <f t="shared" si="1"/>
        <v>1644998.4000000001</v>
      </c>
      <c r="AG17" s="3028">
        <f t="shared" si="2"/>
        <v>1782.0816</v>
      </c>
    </row>
    <row r="18" spans="2:33" ht="36" customHeight="1">
      <c r="B18" s="3001">
        <v>13</v>
      </c>
      <c r="C18" s="3002" t="s">
        <v>3160</v>
      </c>
      <c r="D18" s="3002" t="s">
        <v>3100</v>
      </c>
      <c r="E18" s="3002" t="s">
        <v>3161</v>
      </c>
      <c r="F18" s="3002">
        <v>1089.8</v>
      </c>
      <c r="G18" s="3002" t="s">
        <v>3102</v>
      </c>
      <c r="H18" s="3002" t="s">
        <v>3103</v>
      </c>
      <c r="I18" s="3002" t="s">
        <v>3104</v>
      </c>
      <c r="J18" s="3002" t="s">
        <v>3105</v>
      </c>
      <c r="K18" s="3002" t="s">
        <v>3162</v>
      </c>
      <c r="L18" s="3002">
        <v>2931.2</v>
      </c>
      <c r="M18" s="3002" t="s">
        <v>3126</v>
      </c>
      <c r="N18" s="3016">
        <v>34970</v>
      </c>
      <c r="O18" s="3002">
        <v>2473951</v>
      </c>
      <c r="P18" s="3002" t="s">
        <v>3108</v>
      </c>
      <c r="Q18" s="3003" t="s">
        <v>3163</v>
      </c>
      <c r="R18" s="3002" t="s">
        <v>3135</v>
      </c>
      <c r="S18" s="3002" t="s">
        <v>3110</v>
      </c>
      <c r="T18" s="3002" t="s">
        <v>3138</v>
      </c>
      <c r="U18" s="3002"/>
      <c r="V18" s="3004" t="s">
        <v>3132</v>
      </c>
      <c r="W18" s="3004" t="s">
        <v>3113</v>
      </c>
      <c r="X18" s="3004" t="s">
        <v>3113</v>
      </c>
      <c r="Y18" s="3005" t="s">
        <v>3113</v>
      </c>
      <c r="AA18" s="3028">
        <f t="shared" si="3"/>
        <v>844.00620906113545</v>
      </c>
      <c r="AB18" s="3028" t="s">
        <v>3320</v>
      </c>
      <c r="AC18" s="2954">
        <f t="shared" si="0"/>
        <v>1995</v>
      </c>
      <c r="AD18" s="3029">
        <f t="shared" si="5"/>
        <v>0.52</v>
      </c>
      <c r="AE18" s="2954">
        <v>20</v>
      </c>
      <c r="AF18" s="2954">
        <f t="shared" si="1"/>
        <v>703488</v>
      </c>
      <c r="AG18" s="3028">
        <f t="shared" si="2"/>
        <v>1524.2239999999999</v>
      </c>
    </row>
    <row r="19" spans="2:33" ht="36" customHeight="1">
      <c r="B19" s="3001">
        <v>14</v>
      </c>
      <c r="C19" s="3002" t="s">
        <v>3164</v>
      </c>
      <c r="D19" s="3002" t="s">
        <v>3100</v>
      </c>
      <c r="E19" s="3002" t="s">
        <v>3165</v>
      </c>
      <c r="F19" s="3002">
        <v>1205.4000000000001</v>
      </c>
      <c r="G19" s="3002" t="s">
        <v>3102</v>
      </c>
      <c r="H19" s="3002" t="s">
        <v>3103</v>
      </c>
      <c r="I19" s="3002" t="s">
        <v>3104</v>
      </c>
      <c r="J19" s="3002" t="s">
        <v>3105</v>
      </c>
      <c r="K19" s="3002" t="s">
        <v>3166</v>
      </c>
      <c r="L19" s="3002">
        <v>3427.08</v>
      </c>
      <c r="M19" s="3002" t="s">
        <v>3126</v>
      </c>
      <c r="N19" s="3016">
        <v>34970</v>
      </c>
      <c r="O19" s="3002">
        <v>2838000</v>
      </c>
      <c r="P19" s="3002" t="s">
        <v>3108</v>
      </c>
      <c r="Q19" s="3003" t="s">
        <v>3167</v>
      </c>
      <c r="R19" s="3002" t="s">
        <v>3135</v>
      </c>
      <c r="S19" s="3002" t="s">
        <v>3110</v>
      </c>
      <c r="T19" s="3002" t="s">
        <v>3138</v>
      </c>
      <c r="U19" s="3002"/>
      <c r="V19" s="3004" t="s">
        <v>3132</v>
      </c>
      <c r="W19" s="3004" t="s">
        <v>3113</v>
      </c>
      <c r="X19" s="3004" t="s">
        <v>3113</v>
      </c>
      <c r="Y19" s="3005" t="s">
        <v>3113</v>
      </c>
      <c r="AA19" s="3028">
        <f t="shared" si="3"/>
        <v>828.11022794915789</v>
      </c>
      <c r="AB19" s="3028" t="s">
        <v>3320</v>
      </c>
      <c r="AC19" s="2954">
        <f t="shared" si="0"/>
        <v>1995</v>
      </c>
      <c r="AD19" s="3029">
        <f t="shared" si="5"/>
        <v>0.52</v>
      </c>
      <c r="AE19" s="2954">
        <v>20</v>
      </c>
      <c r="AF19" s="2954">
        <f t="shared" si="1"/>
        <v>822499.20000000007</v>
      </c>
      <c r="AG19" s="3028">
        <f t="shared" si="2"/>
        <v>1782.0816</v>
      </c>
    </row>
    <row r="20" spans="2:33" ht="36" customHeight="1">
      <c r="B20" s="2991">
        <v>15</v>
      </c>
      <c r="C20" s="2992" t="s">
        <v>3168</v>
      </c>
      <c r="D20" s="2992" t="s">
        <v>3100</v>
      </c>
      <c r="E20" s="2992" t="s">
        <v>3169</v>
      </c>
      <c r="F20" s="2992">
        <v>5036</v>
      </c>
      <c r="G20" s="2992" t="s">
        <v>3102</v>
      </c>
      <c r="H20" s="2992" t="s">
        <v>3103</v>
      </c>
      <c r="I20" s="2992" t="s">
        <v>3104</v>
      </c>
      <c r="J20" s="2992" t="s">
        <v>3105</v>
      </c>
      <c r="K20" s="2992" t="s">
        <v>3170</v>
      </c>
      <c r="L20" s="2992">
        <v>7154.9</v>
      </c>
      <c r="M20" s="2992" t="s">
        <v>3171</v>
      </c>
      <c r="N20" s="3027">
        <v>33266</v>
      </c>
      <c r="O20" s="2992">
        <v>2818852</v>
      </c>
      <c r="P20" s="2992" t="s">
        <v>3108</v>
      </c>
      <c r="Q20" s="2993" t="s">
        <v>3172</v>
      </c>
      <c r="R20" s="2992" t="s">
        <v>3173</v>
      </c>
      <c r="S20" s="2992" t="s">
        <v>3174</v>
      </c>
      <c r="T20" s="2992" t="s">
        <v>3138</v>
      </c>
      <c r="U20" s="2992"/>
      <c r="V20" s="2994"/>
      <c r="W20" s="2994" t="s">
        <v>3113</v>
      </c>
      <c r="X20" s="2994" t="s">
        <v>3113</v>
      </c>
      <c r="Y20" s="2995" t="s">
        <v>3113</v>
      </c>
      <c r="AA20" s="3028">
        <f t="shared" si="3"/>
        <v>393.97503808578739</v>
      </c>
      <c r="AB20" s="3030" t="s">
        <v>3319</v>
      </c>
      <c r="AC20" s="2954">
        <f t="shared" si="0"/>
        <v>1991</v>
      </c>
      <c r="AD20" s="3029">
        <f>ROUND(1-(2019-AC20)/40,2)</f>
        <v>0.3</v>
      </c>
      <c r="AE20" s="2954">
        <f>AE6</f>
        <v>26</v>
      </c>
      <c r="AF20" s="2954">
        <f t="shared" si="1"/>
        <v>2232328.7999999998</v>
      </c>
      <c r="AG20" s="3028">
        <f t="shared" si="2"/>
        <v>2146.4699999999998</v>
      </c>
    </row>
    <row r="21" spans="2:33" ht="36" customHeight="1">
      <c r="B21" s="3229">
        <v>16</v>
      </c>
      <c r="C21" s="3214" t="s">
        <v>3175</v>
      </c>
      <c r="D21" s="3214" t="s">
        <v>3100</v>
      </c>
      <c r="E21" s="3214" t="s">
        <v>3176</v>
      </c>
      <c r="F21" s="3214">
        <v>33491.599999999999</v>
      </c>
      <c r="G21" s="3214" t="s">
        <v>3116</v>
      </c>
      <c r="H21" s="3214" t="s">
        <v>3132</v>
      </c>
      <c r="I21" s="3214" t="s">
        <v>3104</v>
      </c>
      <c r="J21" s="3214" t="s">
        <v>3119</v>
      </c>
      <c r="K21" s="3007" t="s">
        <v>3177</v>
      </c>
      <c r="L21" s="3007">
        <v>15486.33</v>
      </c>
      <c r="M21" s="3007" t="s">
        <v>3107</v>
      </c>
      <c r="N21" s="3015">
        <v>37957</v>
      </c>
      <c r="O21" s="3007">
        <v>11936302</v>
      </c>
      <c r="P21" s="3214" t="s">
        <v>3178</v>
      </c>
      <c r="Q21" s="3008" t="s">
        <v>3179</v>
      </c>
      <c r="R21" s="3007" t="s">
        <v>3109</v>
      </c>
      <c r="S21" s="3007" t="s">
        <v>3110</v>
      </c>
      <c r="T21" s="3007" t="s">
        <v>3111</v>
      </c>
      <c r="U21" s="3007"/>
      <c r="V21" s="3009" t="s">
        <v>3112</v>
      </c>
      <c r="W21" s="3009" t="s">
        <v>3113</v>
      </c>
      <c r="X21" s="3009" t="s">
        <v>3113</v>
      </c>
      <c r="Y21" s="3010" t="s">
        <v>3113</v>
      </c>
      <c r="AA21" s="3028">
        <f t="shared" si="3"/>
        <v>770.7637639130769</v>
      </c>
      <c r="AB21" s="3028" t="s">
        <v>3301</v>
      </c>
      <c r="AC21" s="2954">
        <f t="shared" si="0"/>
        <v>2003</v>
      </c>
      <c r="AD21" s="3029">
        <f t="shared" ref="AD21:AD22" si="6">ROUND(1-(2019-AC21)/50,2)</f>
        <v>0.68</v>
      </c>
      <c r="AE21" s="2954">
        <f>AE6</f>
        <v>26</v>
      </c>
      <c r="AF21" s="2954">
        <f t="shared" si="1"/>
        <v>4831734.96</v>
      </c>
      <c r="AG21" s="3028">
        <f t="shared" si="2"/>
        <v>10530.704400000001</v>
      </c>
    </row>
    <row r="22" spans="2:33" ht="36" customHeight="1">
      <c r="B22" s="3229"/>
      <c r="C22" s="3214"/>
      <c r="D22" s="3214"/>
      <c r="E22" s="3214"/>
      <c r="F22" s="3214"/>
      <c r="G22" s="3214"/>
      <c r="H22" s="3214"/>
      <c r="I22" s="3214"/>
      <c r="J22" s="3214"/>
      <c r="K22" s="3007" t="s">
        <v>3180</v>
      </c>
      <c r="L22" s="3007">
        <v>12769.8</v>
      </c>
      <c r="M22" s="3007" t="s">
        <v>3107</v>
      </c>
      <c r="N22" s="3015">
        <v>37957</v>
      </c>
      <c r="O22" s="3007">
        <v>9198725</v>
      </c>
      <c r="P22" s="3214"/>
      <c r="Q22" s="3008" t="s">
        <v>3181</v>
      </c>
      <c r="R22" s="3007" t="s">
        <v>3109</v>
      </c>
      <c r="S22" s="3007" t="s">
        <v>3174</v>
      </c>
      <c r="T22" s="3007" t="s">
        <v>3111</v>
      </c>
      <c r="U22" s="3007"/>
      <c r="V22" s="3009" t="s">
        <v>3112</v>
      </c>
      <c r="W22" s="3009" t="s">
        <v>3113</v>
      </c>
      <c r="X22" s="3009" t="s">
        <v>3113</v>
      </c>
      <c r="Y22" s="3010" t="s">
        <v>3113</v>
      </c>
      <c r="AA22" s="3028">
        <f t="shared" si="3"/>
        <v>720.34996632680236</v>
      </c>
      <c r="AB22" s="3028" t="s">
        <v>3301</v>
      </c>
      <c r="AC22" s="2954">
        <f t="shared" si="0"/>
        <v>2003</v>
      </c>
      <c r="AD22" s="3029">
        <f t="shared" si="6"/>
        <v>0.68</v>
      </c>
      <c r="AE22" s="2954">
        <f>AE6</f>
        <v>26</v>
      </c>
      <c r="AF22" s="2954">
        <f t="shared" si="1"/>
        <v>3984177.5999999996</v>
      </c>
      <c r="AG22" s="3028">
        <f t="shared" si="2"/>
        <v>8683.4639999999999</v>
      </c>
    </row>
    <row r="23" spans="2:33" ht="36" customHeight="1">
      <c r="B23" s="3229"/>
      <c r="C23" s="3214"/>
      <c r="D23" s="3214"/>
      <c r="E23" s="3214"/>
      <c r="F23" s="3214"/>
      <c r="G23" s="3214"/>
      <c r="H23" s="3214"/>
      <c r="I23" s="3214"/>
      <c r="J23" s="3214"/>
      <c r="K23" s="3002" t="s">
        <v>3182</v>
      </c>
      <c r="L23" s="3002">
        <v>4248.49</v>
      </c>
      <c r="M23" s="3002" t="s">
        <v>3183</v>
      </c>
      <c r="N23" s="3016">
        <v>37957</v>
      </c>
      <c r="O23" s="3002">
        <v>4019719</v>
      </c>
      <c r="P23" s="3214"/>
      <c r="Q23" s="3006" t="s">
        <v>3184</v>
      </c>
      <c r="R23" s="3002" t="s">
        <v>3135</v>
      </c>
      <c r="S23" s="3002" t="s">
        <v>3174</v>
      </c>
      <c r="T23" s="3002" t="s">
        <v>3138</v>
      </c>
      <c r="U23" s="3002"/>
      <c r="V23" s="3004">
        <v>0</v>
      </c>
      <c r="W23" s="3004" t="s">
        <v>3113</v>
      </c>
      <c r="X23" s="3004" t="s">
        <v>3113</v>
      </c>
      <c r="Y23" s="3005" t="s">
        <v>3113</v>
      </c>
      <c r="AA23" s="3028">
        <f t="shared" si="3"/>
        <v>946.15239767540947</v>
      </c>
      <c r="AB23" s="3028" t="s">
        <v>3320</v>
      </c>
      <c r="AC23" s="2954">
        <f t="shared" si="0"/>
        <v>2003</v>
      </c>
      <c r="AD23" s="3029">
        <f>ROUND(1-(2019-AC23)/50,2)</f>
        <v>0.68</v>
      </c>
      <c r="AE23" s="2954">
        <v>20</v>
      </c>
      <c r="AF23" s="2954">
        <f t="shared" si="1"/>
        <v>1019637.5999999999</v>
      </c>
      <c r="AG23" s="3028">
        <f t="shared" si="2"/>
        <v>2888.9731999999999</v>
      </c>
    </row>
    <row r="24" spans="2:33" ht="36" customHeight="1">
      <c r="B24" s="3229"/>
      <c r="C24" s="3214"/>
      <c r="D24" s="3214"/>
      <c r="E24" s="3214"/>
      <c r="F24" s="3214"/>
      <c r="G24" s="3214"/>
      <c r="H24" s="3214"/>
      <c r="I24" s="3214"/>
      <c r="J24" s="3214"/>
      <c r="K24" s="3002" t="s">
        <v>3185</v>
      </c>
      <c r="L24" s="3002">
        <v>3414.54</v>
      </c>
      <c r="M24" s="3002" t="s">
        <v>3183</v>
      </c>
      <c r="N24" s="3016">
        <v>37957</v>
      </c>
      <c r="O24" s="3002">
        <v>2459664</v>
      </c>
      <c r="P24" s="3214"/>
      <c r="Q24" s="3006" t="s">
        <v>3186</v>
      </c>
      <c r="R24" s="3002" t="s">
        <v>3135</v>
      </c>
      <c r="S24" s="3002" t="s">
        <v>3174</v>
      </c>
      <c r="T24" s="3002" t="s">
        <v>3111</v>
      </c>
      <c r="U24" s="3002"/>
      <c r="V24" s="3004">
        <v>0</v>
      </c>
      <c r="W24" s="3004" t="s">
        <v>3113</v>
      </c>
      <c r="X24" s="3004" t="s">
        <v>3113</v>
      </c>
      <c r="Y24" s="3005" t="s">
        <v>3113</v>
      </c>
      <c r="AA24" s="3028">
        <f t="shared" si="3"/>
        <v>720.35003250803913</v>
      </c>
      <c r="AB24" s="3028" t="s">
        <v>3320</v>
      </c>
      <c r="AC24" s="2954">
        <f t="shared" si="0"/>
        <v>2003</v>
      </c>
      <c r="AD24" s="3029">
        <f t="shared" ref="AD24:AD25" si="7">ROUND(1-(2019-AC24)/50,2)</f>
        <v>0.68</v>
      </c>
      <c r="AE24" s="2954">
        <v>20</v>
      </c>
      <c r="AF24" s="2954">
        <f t="shared" si="1"/>
        <v>819489.60000000009</v>
      </c>
      <c r="AG24" s="3028">
        <f t="shared" si="2"/>
        <v>2321.8872000000001</v>
      </c>
    </row>
    <row r="25" spans="2:33" ht="36" customHeight="1">
      <c r="B25" s="3229"/>
      <c r="C25" s="3214"/>
      <c r="D25" s="3214"/>
      <c r="E25" s="3214"/>
      <c r="F25" s="3214"/>
      <c r="G25" s="3214"/>
      <c r="H25" s="3214"/>
      <c r="I25" s="3214"/>
      <c r="J25" s="3214"/>
      <c r="K25" s="3002" t="s">
        <v>3187</v>
      </c>
      <c r="L25" s="3002">
        <v>2267.04</v>
      </c>
      <c r="M25" s="3002" t="s">
        <v>3188</v>
      </c>
      <c r="N25" s="3016">
        <v>38908</v>
      </c>
      <c r="O25" s="3002">
        <v>1875365.9</v>
      </c>
      <c r="P25" s="3214"/>
      <c r="Q25" s="3003" t="s">
        <v>3189</v>
      </c>
      <c r="R25" s="3002" t="s">
        <v>3135</v>
      </c>
      <c r="S25" s="3002" t="s">
        <v>3174</v>
      </c>
      <c r="T25" s="3002" t="s">
        <v>3111</v>
      </c>
      <c r="U25" s="3002"/>
      <c r="V25" s="3004">
        <v>0</v>
      </c>
      <c r="W25" s="3004" t="s">
        <v>3113</v>
      </c>
      <c r="X25" s="3004" t="s">
        <v>3113</v>
      </c>
      <c r="Y25" s="3005" t="s">
        <v>3113</v>
      </c>
      <c r="AA25" s="3028">
        <f t="shared" si="3"/>
        <v>827.23105900204666</v>
      </c>
      <c r="AB25" s="3028" t="s">
        <v>3320</v>
      </c>
      <c r="AC25" s="2954">
        <f t="shared" si="0"/>
        <v>2006</v>
      </c>
      <c r="AD25" s="3029">
        <f t="shared" si="7"/>
        <v>0.74</v>
      </c>
      <c r="AE25" s="2954">
        <v>20</v>
      </c>
      <c r="AF25" s="2954">
        <f t="shared" si="1"/>
        <v>544089.60000000009</v>
      </c>
      <c r="AG25" s="3028">
        <f t="shared" si="2"/>
        <v>1677.6096</v>
      </c>
    </row>
    <row r="26" spans="2:33" ht="36" customHeight="1">
      <c r="B26" s="3229"/>
      <c r="C26" s="3214"/>
      <c r="D26" s="3214"/>
      <c r="E26" s="3214"/>
      <c r="F26" s="3214"/>
      <c r="G26" s="3214"/>
      <c r="H26" s="3214"/>
      <c r="I26" s="3214"/>
      <c r="J26" s="3214"/>
      <c r="K26" s="3007" t="s">
        <v>3190</v>
      </c>
      <c r="L26" s="3007">
        <v>12793.49</v>
      </c>
      <c r="M26" s="3007" t="s">
        <v>3107</v>
      </c>
      <c r="N26" s="3015">
        <v>38908</v>
      </c>
      <c r="O26" s="3007">
        <v>10583172.279999999</v>
      </c>
      <c r="P26" s="3214"/>
      <c r="Q26" s="3008" t="s">
        <v>3191</v>
      </c>
      <c r="R26" s="3007" t="s">
        <v>3109</v>
      </c>
      <c r="S26" s="3007" t="s">
        <v>3174</v>
      </c>
      <c r="T26" s="3007" t="s">
        <v>3111</v>
      </c>
      <c r="U26" s="3007"/>
      <c r="V26" s="3009" t="s">
        <v>3112</v>
      </c>
      <c r="W26" s="3009" t="s">
        <v>3113</v>
      </c>
      <c r="X26" s="3009" t="s">
        <v>3113</v>
      </c>
      <c r="Y26" s="3010" t="s">
        <v>3113</v>
      </c>
      <c r="AA26" s="3028">
        <f t="shared" si="3"/>
        <v>827.23105892137323</v>
      </c>
      <c r="AB26" s="3028" t="s">
        <v>3301</v>
      </c>
      <c r="AC26" s="2954">
        <f t="shared" si="0"/>
        <v>2006</v>
      </c>
      <c r="AD26" s="3029">
        <f>ROUND(1-(2019-AC26)/50,2)</f>
        <v>0.74</v>
      </c>
      <c r="AE26" s="2954">
        <f>AE6</f>
        <v>26</v>
      </c>
      <c r="AF26" s="2954">
        <f t="shared" si="1"/>
        <v>3991568.88</v>
      </c>
      <c r="AG26" s="3028">
        <f t="shared" si="2"/>
        <v>9467.1826000000001</v>
      </c>
    </row>
    <row r="27" spans="2:33" ht="36" customHeight="1">
      <c r="B27" s="2991">
        <v>17</v>
      </c>
      <c r="C27" s="2992" t="s">
        <v>3192</v>
      </c>
      <c r="D27" s="2992" t="s">
        <v>3100</v>
      </c>
      <c r="E27" s="2992" t="s">
        <v>3193</v>
      </c>
      <c r="F27" s="2992">
        <v>2378.1999999999998</v>
      </c>
      <c r="G27" s="2992" t="s">
        <v>3102</v>
      </c>
      <c r="H27" s="2992" t="s">
        <v>3103</v>
      </c>
      <c r="I27" s="2992" t="s">
        <v>3104</v>
      </c>
      <c r="J27" s="2992" t="s">
        <v>3105</v>
      </c>
      <c r="K27" s="2992" t="s">
        <v>3194</v>
      </c>
      <c r="L27" s="2992">
        <v>7070.97</v>
      </c>
      <c r="M27" s="2992" t="s">
        <v>3126</v>
      </c>
      <c r="N27" s="3027">
        <v>33914</v>
      </c>
      <c r="O27" s="2992">
        <v>3884013</v>
      </c>
      <c r="P27" s="2992" t="s">
        <v>3108</v>
      </c>
      <c r="Q27" s="2993" t="s">
        <v>3195</v>
      </c>
      <c r="R27" s="2992" t="s">
        <v>3196</v>
      </c>
      <c r="S27" s="2992" t="s">
        <v>3197</v>
      </c>
      <c r="T27" s="2992" t="s">
        <v>3138</v>
      </c>
      <c r="U27" s="2992"/>
      <c r="V27" s="2994"/>
      <c r="W27" s="2994" t="s">
        <v>3113</v>
      </c>
      <c r="X27" s="2994" t="s">
        <v>3113</v>
      </c>
      <c r="Y27" s="2995" t="s">
        <v>3113</v>
      </c>
      <c r="AA27" s="3028">
        <f t="shared" si="3"/>
        <v>549.28998425958525</v>
      </c>
      <c r="AB27" s="3030" t="s">
        <v>3319</v>
      </c>
      <c r="AC27" s="2954">
        <f t="shared" si="0"/>
        <v>1992</v>
      </c>
      <c r="AD27" s="3029">
        <f>ROUND(1-(2019-AC27)/40,2)</f>
        <v>0.33</v>
      </c>
      <c r="AE27" s="2954">
        <f>AE6</f>
        <v>26</v>
      </c>
      <c r="AF27" s="2954">
        <f t="shared" si="1"/>
        <v>2206142.64</v>
      </c>
      <c r="AG27" s="3028">
        <f t="shared" si="2"/>
        <v>2333.4201000000003</v>
      </c>
    </row>
    <row r="28" spans="2:33" ht="36" customHeight="1">
      <c r="B28" s="3001">
        <v>18</v>
      </c>
      <c r="C28" s="3002" t="s">
        <v>3198</v>
      </c>
      <c r="D28" s="3002" t="s">
        <v>3100</v>
      </c>
      <c r="E28" s="3002" t="s">
        <v>3199</v>
      </c>
      <c r="F28" s="3002">
        <v>1386.34</v>
      </c>
      <c r="G28" s="3002" t="s">
        <v>3102</v>
      </c>
      <c r="H28" s="3002" t="s">
        <v>3103</v>
      </c>
      <c r="I28" s="3002" t="s">
        <v>3104</v>
      </c>
      <c r="J28" s="3002" t="s">
        <v>3105</v>
      </c>
      <c r="K28" s="3002" t="s">
        <v>3200</v>
      </c>
      <c r="L28" s="3002">
        <v>2587.9299999999998</v>
      </c>
      <c r="M28" s="3002" t="s">
        <v>3135</v>
      </c>
      <c r="N28" s="3016">
        <v>33222</v>
      </c>
      <c r="O28" s="3002">
        <v>971315</v>
      </c>
      <c r="P28" s="2962" t="s">
        <v>3108</v>
      </c>
      <c r="Q28" s="3006" t="s">
        <v>3201</v>
      </c>
      <c r="R28" s="3002" t="s">
        <v>3135</v>
      </c>
      <c r="S28" s="3002" t="s">
        <v>3174</v>
      </c>
      <c r="T28" s="3002" t="s">
        <v>3138</v>
      </c>
      <c r="U28" s="3002"/>
      <c r="V28" s="3004">
        <v>0</v>
      </c>
      <c r="W28" s="3004" t="s">
        <v>3113</v>
      </c>
      <c r="X28" s="3004" t="s">
        <v>3113</v>
      </c>
      <c r="Y28" s="3005" t="s">
        <v>3113</v>
      </c>
      <c r="AA28" s="3028">
        <f t="shared" si="3"/>
        <v>375.32506675219196</v>
      </c>
      <c r="AB28" s="3028" t="s">
        <v>3320</v>
      </c>
      <c r="AC28" s="2954">
        <f t="shared" si="0"/>
        <v>1990</v>
      </c>
      <c r="AD28" s="3029">
        <f t="shared" ref="AD28:AD32" si="8">ROUND(1-(2019-AC28)/50,2)</f>
        <v>0.42</v>
      </c>
      <c r="AE28" s="2954">
        <v>20</v>
      </c>
      <c r="AF28" s="2954">
        <f t="shared" si="1"/>
        <v>621103.19999999995</v>
      </c>
      <c r="AG28" s="3028">
        <f t="shared" si="2"/>
        <v>1086.9305999999999</v>
      </c>
    </row>
    <row r="29" spans="2:33" ht="36" customHeight="1">
      <c r="B29" s="3001">
        <v>19</v>
      </c>
      <c r="C29" s="3002" t="s">
        <v>3202</v>
      </c>
      <c r="D29" s="3002" t="s">
        <v>3100</v>
      </c>
      <c r="E29" s="3002" t="s">
        <v>3203</v>
      </c>
      <c r="F29" s="3002">
        <v>760.5</v>
      </c>
      <c r="G29" s="3002" t="s">
        <v>3102</v>
      </c>
      <c r="H29" s="3002" t="s">
        <v>3103</v>
      </c>
      <c r="I29" s="3002" t="s">
        <v>3104</v>
      </c>
      <c r="J29" s="3002" t="s">
        <v>3105</v>
      </c>
      <c r="K29" s="3002" t="s">
        <v>3204</v>
      </c>
      <c r="L29" s="3002">
        <v>2587.9299999999998</v>
      </c>
      <c r="M29" s="3002" t="s">
        <v>3135</v>
      </c>
      <c r="N29" s="3016">
        <v>33227</v>
      </c>
      <c r="O29" s="3002">
        <v>968155</v>
      </c>
      <c r="P29" s="2962" t="s">
        <v>3108</v>
      </c>
      <c r="Q29" s="3006" t="s">
        <v>3205</v>
      </c>
      <c r="R29" s="3002" t="s">
        <v>3135</v>
      </c>
      <c r="S29" s="3002" t="s">
        <v>3174</v>
      </c>
      <c r="T29" s="3002" t="s">
        <v>3138</v>
      </c>
      <c r="U29" s="3002"/>
      <c r="V29" s="3004">
        <v>0</v>
      </c>
      <c r="W29" s="3004" t="s">
        <v>3113</v>
      </c>
      <c r="X29" s="3004" t="s">
        <v>3113</v>
      </c>
      <c r="Y29" s="3005" t="s">
        <v>3113</v>
      </c>
      <c r="AA29" s="3028">
        <f t="shared" si="3"/>
        <v>374.10401363251714</v>
      </c>
      <c r="AB29" s="3028" t="s">
        <v>3320</v>
      </c>
      <c r="AC29" s="2954">
        <f t="shared" si="0"/>
        <v>1990</v>
      </c>
      <c r="AD29" s="3029">
        <f t="shared" si="8"/>
        <v>0.42</v>
      </c>
      <c r="AE29" s="2954">
        <v>20</v>
      </c>
      <c r="AF29" s="2954">
        <f t="shared" si="1"/>
        <v>621103.19999999995</v>
      </c>
      <c r="AG29" s="3028">
        <f t="shared" si="2"/>
        <v>1086.9305999999999</v>
      </c>
    </row>
    <row r="30" spans="2:33" ht="36" customHeight="1">
      <c r="B30" s="3001">
        <v>20</v>
      </c>
      <c r="C30" s="3002" t="s">
        <v>3206</v>
      </c>
      <c r="D30" s="3002" t="s">
        <v>3100</v>
      </c>
      <c r="E30" s="3002" t="s">
        <v>3207</v>
      </c>
      <c r="F30" s="3002">
        <v>952.1</v>
      </c>
      <c r="G30" s="3002" t="s">
        <v>3102</v>
      </c>
      <c r="H30" s="3002" t="s">
        <v>3103</v>
      </c>
      <c r="I30" s="3002" t="s">
        <v>3208</v>
      </c>
      <c r="J30" s="3002" t="s">
        <v>3105</v>
      </c>
      <c r="K30" s="3002" t="s">
        <v>3209</v>
      </c>
      <c r="L30" s="3002">
        <v>2587.9299999999998</v>
      </c>
      <c r="M30" s="3002" t="s">
        <v>3135</v>
      </c>
      <c r="N30" s="3016">
        <v>32973</v>
      </c>
      <c r="O30" s="3002">
        <v>1077742</v>
      </c>
      <c r="P30" s="2962" t="s">
        <v>3108</v>
      </c>
      <c r="Q30" s="3006" t="s">
        <v>3210</v>
      </c>
      <c r="R30" s="3002" t="s">
        <v>3135</v>
      </c>
      <c r="S30" s="3002" t="s">
        <v>3174</v>
      </c>
      <c r="T30" s="3002" t="s">
        <v>3138</v>
      </c>
      <c r="U30" s="3002"/>
      <c r="V30" s="3004">
        <v>0</v>
      </c>
      <c r="W30" s="3004" t="s">
        <v>3113</v>
      </c>
      <c r="X30" s="3004" t="s">
        <v>3113</v>
      </c>
      <c r="Y30" s="3005" t="s">
        <v>3113</v>
      </c>
      <c r="AA30" s="3028">
        <f t="shared" si="3"/>
        <v>416.44944028625196</v>
      </c>
      <c r="AB30" s="3028" t="s">
        <v>3320</v>
      </c>
      <c r="AC30" s="2954">
        <f t="shared" si="0"/>
        <v>1990</v>
      </c>
      <c r="AD30" s="3029">
        <f t="shared" si="8"/>
        <v>0.42</v>
      </c>
      <c r="AE30" s="2954">
        <v>20</v>
      </c>
      <c r="AF30" s="2954">
        <f t="shared" si="1"/>
        <v>621103.19999999995</v>
      </c>
      <c r="AG30" s="3028">
        <f t="shared" si="2"/>
        <v>1086.9305999999999</v>
      </c>
    </row>
    <row r="31" spans="2:33" ht="36" customHeight="1">
      <c r="B31" s="3001">
        <v>21</v>
      </c>
      <c r="C31" s="3002" t="s">
        <v>3211</v>
      </c>
      <c r="D31" s="3002" t="s">
        <v>3100</v>
      </c>
      <c r="E31" s="3002" t="s">
        <v>3212</v>
      </c>
      <c r="F31" s="3002">
        <v>1769</v>
      </c>
      <c r="G31" s="3002" t="s">
        <v>3102</v>
      </c>
      <c r="H31" s="3002" t="s">
        <v>3103</v>
      </c>
      <c r="I31" s="3002" t="s">
        <v>3104</v>
      </c>
      <c r="J31" s="3002" t="s">
        <v>3105</v>
      </c>
      <c r="K31" s="3002" t="s">
        <v>3213</v>
      </c>
      <c r="L31" s="3002">
        <v>3771.6</v>
      </c>
      <c r="M31" s="3002" t="s">
        <v>3135</v>
      </c>
      <c r="N31" s="3016">
        <v>32996</v>
      </c>
      <c r="O31" s="3002">
        <v>1271778</v>
      </c>
      <c r="P31" s="2962" t="s">
        <v>3108</v>
      </c>
      <c r="Q31" s="3006" t="s">
        <v>3214</v>
      </c>
      <c r="R31" s="3002" t="s">
        <v>3135</v>
      </c>
      <c r="S31" s="3002" t="s">
        <v>3174</v>
      </c>
      <c r="T31" s="3002" t="s">
        <v>3138</v>
      </c>
      <c r="U31" s="3002"/>
      <c r="V31" s="3004">
        <v>0</v>
      </c>
      <c r="W31" s="3004" t="s">
        <v>3113</v>
      </c>
      <c r="X31" s="3004" t="s">
        <v>3113</v>
      </c>
      <c r="Y31" s="3005" t="s">
        <v>3113</v>
      </c>
      <c r="AA31" s="3028">
        <f t="shared" si="3"/>
        <v>337.19853643016228</v>
      </c>
      <c r="AB31" s="3028" t="s">
        <v>3320</v>
      </c>
      <c r="AC31" s="2954">
        <f t="shared" si="0"/>
        <v>1990</v>
      </c>
      <c r="AD31" s="3029">
        <f t="shared" si="8"/>
        <v>0.42</v>
      </c>
      <c r="AE31" s="2954">
        <v>20</v>
      </c>
      <c r="AF31" s="2954">
        <f t="shared" si="1"/>
        <v>905184</v>
      </c>
      <c r="AG31" s="3028">
        <f t="shared" si="2"/>
        <v>1584.0719999999999</v>
      </c>
    </row>
    <row r="32" spans="2:33" ht="36" customHeight="1">
      <c r="B32" s="3001">
        <v>22</v>
      </c>
      <c r="C32" s="3002" t="s">
        <v>3215</v>
      </c>
      <c r="D32" s="3002" t="s">
        <v>3100</v>
      </c>
      <c r="E32" s="3002" t="s">
        <v>3216</v>
      </c>
      <c r="F32" s="3002">
        <v>1139.2</v>
      </c>
      <c r="G32" s="3002" t="s">
        <v>3102</v>
      </c>
      <c r="H32" s="3002" t="s">
        <v>3103</v>
      </c>
      <c r="I32" s="3002" t="s">
        <v>3104</v>
      </c>
      <c r="J32" s="3002" t="s">
        <v>3105</v>
      </c>
      <c r="K32" s="3002" t="s">
        <v>3217</v>
      </c>
      <c r="L32" s="3002">
        <v>2976.19</v>
      </c>
      <c r="M32" s="3002" t="s">
        <v>3135</v>
      </c>
      <c r="N32" s="3016">
        <v>32996</v>
      </c>
      <c r="O32" s="3002">
        <v>1056676</v>
      </c>
      <c r="P32" s="2962" t="s">
        <v>3108</v>
      </c>
      <c r="Q32" s="3006" t="s">
        <v>3218</v>
      </c>
      <c r="R32" s="3002" t="s">
        <v>3135</v>
      </c>
      <c r="S32" s="3002" t="s">
        <v>3174</v>
      </c>
      <c r="T32" s="3002" t="s">
        <v>3138</v>
      </c>
      <c r="U32" s="3002"/>
      <c r="V32" s="3004">
        <v>0</v>
      </c>
      <c r="W32" s="3004" t="s">
        <v>3113</v>
      </c>
      <c r="X32" s="3004" t="s">
        <v>3113</v>
      </c>
      <c r="Y32" s="3005" t="s">
        <v>3113</v>
      </c>
      <c r="AA32" s="3028">
        <f t="shared" si="3"/>
        <v>355.04319280691084</v>
      </c>
      <c r="AB32" s="3028" t="s">
        <v>3320</v>
      </c>
      <c r="AC32" s="2954">
        <f t="shared" si="0"/>
        <v>1990</v>
      </c>
      <c r="AD32" s="3029">
        <f t="shared" si="8"/>
        <v>0.42</v>
      </c>
      <c r="AE32" s="2954">
        <v>20</v>
      </c>
      <c r="AF32" s="2954">
        <f t="shared" si="1"/>
        <v>714285.60000000009</v>
      </c>
      <c r="AG32" s="3028">
        <f t="shared" si="2"/>
        <v>1249.9998000000001</v>
      </c>
    </row>
    <row r="33" spans="1:46" ht="36" customHeight="1">
      <c r="B33" s="3001">
        <v>23</v>
      </c>
      <c r="C33" s="3002" t="s">
        <v>3219</v>
      </c>
      <c r="D33" s="3002" t="s">
        <v>3100</v>
      </c>
      <c r="E33" s="3002" t="s">
        <v>3220</v>
      </c>
      <c r="F33" s="3002">
        <v>1741.29</v>
      </c>
      <c r="G33" s="3002" t="s">
        <v>3116</v>
      </c>
      <c r="H33" s="3002" t="s">
        <v>3103</v>
      </c>
      <c r="I33" s="3002" t="s">
        <v>3221</v>
      </c>
      <c r="J33" s="3002" t="s">
        <v>3119</v>
      </c>
      <c r="K33" s="3002" t="s">
        <v>3222</v>
      </c>
      <c r="L33" s="3002">
        <v>3442.27</v>
      </c>
      <c r="M33" s="3002" t="s">
        <v>3223</v>
      </c>
      <c r="N33" s="3025">
        <v>32874</v>
      </c>
      <c r="O33" s="3002">
        <v>4639766.8</v>
      </c>
      <c r="P33" s="2962" t="s">
        <v>3108</v>
      </c>
      <c r="Q33" s="3006" t="s">
        <v>3224</v>
      </c>
      <c r="R33" s="3002" t="s">
        <v>3135</v>
      </c>
      <c r="S33" s="3002" t="s">
        <v>3110</v>
      </c>
      <c r="T33" s="3002" t="s">
        <v>3138</v>
      </c>
      <c r="U33" s="3002"/>
      <c r="V33" s="3004">
        <v>0</v>
      </c>
      <c r="W33" s="3004" t="s">
        <v>3113</v>
      </c>
      <c r="X33" s="3004" t="s">
        <v>3113</v>
      </c>
      <c r="Y33" s="3005" t="s">
        <v>3113</v>
      </c>
      <c r="AA33" s="3028">
        <f t="shared" si="3"/>
        <v>1347.8799745516767</v>
      </c>
      <c r="AB33" s="3028" t="s">
        <v>3320</v>
      </c>
      <c r="AC33" s="3032">
        <f t="shared" si="0"/>
        <v>1990</v>
      </c>
      <c r="AD33" s="3033">
        <f>ROUND(1-(2019-AC33)/50,2)</f>
        <v>0.42</v>
      </c>
      <c r="AE33" s="2954">
        <v>20</v>
      </c>
      <c r="AF33" s="2954">
        <f t="shared" si="1"/>
        <v>826144.79999999993</v>
      </c>
      <c r="AG33" s="3028">
        <f t="shared" si="2"/>
        <v>1445.7533999999998</v>
      </c>
    </row>
    <row r="34" spans="1:46" ht="36" customHeight="1">
      <c r="B34" s="3001">
        <v>24</v>
      </c>
      <c r="C34" s="3002" t="s">
        <v>3225</v>
      </c>
      <c r="D34" s="3002" t="s">
        <v>3100</v>
      </c>
      <c r="E34" s="3002" t="s">
        <v>3226</v>
      </c>
      <c r="F34" s="3002">
        <v>1149.5</v>
      </c>
      <c r="G34" s="3002" t="s">
        <v>3102</v>
      </c>
      <c r="H34" s="3002" t="s">
        <v>3103</v>
      </c>
      <c r="I34" s="3002" t="s">
        <v>3104</v>
      </c>
      <c r="J34" s="3002" t="s">
        <v>3105</v>
      </c>
      <c r="K34" s="3002" t="s">
        <v>3227</v>
      </c>
      <c r="L34" s="3002">
        <v>1996.14</v>
      </c>
      <c r="M34" s="3002" t="s">
        <v>3135</v>
      </c>
      <c r="N34" s="3016">
        <v>32040</v>
      </c>
      <c r="O34" s="3002">
        <v>656290</v>
      </c>
      <c r="P34" s="2962" t="s">
        <v>3108</v>
      </c>
      <c r="Q34" s="3003" t="s">
        <v>3228</v>
      </c>
      <c r="R34" s="3002" t="s">
        <v>3135</v>
      </c>
      <c r="S34" s="3002" t="s">
        <v>3174</v>
      </c>
      <c r="T34" s="3002" t="s">
        <v>3138</v>
      </c>
      <c r="U34" s="3002"/>
      <c r="V34" s="3004">
        <v>0</v>
      </c>
      <c r="W34" s="3004" t="s">
        <v>3113</v>
      </c>
      <c r="X34" s="3004" t="s">
        <v>3113</v>
      </c>
      <c r="Y34" s="3005" t="s">
        <v>3113</v>
      </c>
      <c r="AA34" s="3028">
        <f t="shared" si="3"/>
        <v>328.77954452092536</v>
      </c>
      <c r="AB34" s="3028" t="s">
        <v>3320</v>
      </c>
      <c r="AC34" s="2954">
        <f t="shared" si="0"/>
        <v>1987</v>
      </c>
      <c r="AD34" s="3029">
        <f t="shared" ref="AD34:AD35" si="9">ROUND(1-(2019-AC34)/60,2)</f>
        <v>0.47</v>
      </c>
      <c r="AE34" s="2954">
        <v>20</v>
      </c>
      <c r="AF34" s="2954">
        <f t="shared" si="1"/>
        <v>479073.60000000003</v>
      </c>
      <c r="AG34" s="3028">
        <f t="shared" si="2"/>
        <v>938.18579999999997</v>
      </c>
    </row>
    <row r="35" spans="1:46" ht="36" customHeight="1">
      <c r="B35" s="3001">
        <v>25</v>
      </c>
      <c r="C35" s="3002" t="s">
        <v>3229</v>
      </c>
      <c r="D35" s="3002" t="s">
        <v>3100</v>
      </c>
      <c r="E35" s="3002" t="s">
        <v>3230</v>
      </c>
      <c r="F35" s="3002">
        <v>1100.2</v>
      </c>
      <c r="G35" s="3002" t="s">
        <v>3102</v>
      </c>
      <c r="H35" s="3002" t="s">
        <v>3117</v>
      </c>
      <c r="I35" s="3002" t="s">
        <v>3104</v>
      </c>
      <c r="J35" s="3002" t="s">
        <v>3119</v>
      </c>
      <c r="K35" s="3002" t="s">
        <v>3231</v>
      </c>
      <c r="L35" s="3002">
        <v>1996.1</v>
      </c>
      <c r="M35" s="3002" t="s">
        <v>3146</v>
      </c>
      <c r="N35" s="3016">
        <v>32040</v>
      </c>
      <c r="O35" s="3002">
        <v>656291</v>
      </c>
      <c r="P35" s="2962" t="s">
        <v>3108</v>
      </c>
      <c r="Q35" s="3003" t="s">
        <v>3232</v>
      </c>
      <c r="R35" s="3002" t="s">
        <v>3135</v>
      </c>
      <c r="S35" s="3002" t="s">
        <v>3174</v>
      </c>
      <c r="T35" s="3002" t="s">
        <v>3138</v>
      </c>
      <c r="U35" s="3002"/>
      <c r="V35" s="3004">
        <v>0</v>
      </c>
      <c r="W35" s="3004" t="s">
        <v>3113</v>
      </c>
      <c r="X35" s="3004" t="s">
        <v>3113</v>
      </c>
      <c r="Y35" s="3005" t="s">
        <v>3113</v>
      </c>
      <c r="AA35" s="3028">
        <f t="shared" si="3"/>
        <v>328.78663393617558</v>
      </c>
      <c r="AB35" s="3028" t="s">
        <v>3320</v>
      </c>
      <c r="AC35" s="2954">
        <f t="shared" si="0"/>
        <v>1987</v>
      </c>
      <c r="AD35" s="3029">
        <f t="shared" si="9"/>
        <v>0.47</v>
      </c>
      <c r="AE35" s="2954">
        <v>20</v>
      </c>
      <c r="AF35" s="2954">
        <f t="shared" si="1"/>
        <v>479064</v>
      </c>
      <c r="AG35" s="3028">
        <f t="shared" si="2"/>
        <v>938.16699999999992</v>
      </c>
    </row>
    <row r="36" spans="1:46" ht="36" customHeight="1">
      <c r="B36" s="2996">
        <v>26</v>
      </c>
      <c r="C36" s="2997" t="s">
        <v>3233</v>
      </c>
      <c r="D36" s="2997" t="s">
        <v>3100</v>
      </c>
      <c r="E36" s="2997" t="s">
        <v>3234</v>
      </c>
      <c r="F36" s="2997">
        <v>1942</v>
      </c>
      <c r="G36" s="2997" t="s">
        <v>3102</v>
      </c>
      <c r="H36" s="2997" t="s">
        <v>3103</v>
      </c>
      <c r="I36" s="2997" t="s">
        <v>3235</v>
      </c>
      <c r="J36" s="2997" t="s">
        <v>3105</v>
      </c>
      <c r="K36" s="2997" t="s">
        <v>3236</v>
      </c>
      <c r="L36" s="2997">
        <v>2675.66</v>
      </c>
      <c r="M36" s="2997" t="s">
        <v>3126</v>
      </c>
      <c r="N36" s="3017">
        <v>34068</v>
      </c>
      <c r="O36" s="2997">
        <v>3360097</v>
      </c>
      <c r="P36" s="2997" t="s">
        <v>3108</v>
      </c>
      <c r="Q36" s="2998" t="s">
        <v>3237</v>
      </c>
      <c r="R36" s="2997" t="s">
        <v>3135</v>
      </c>
      <c r="S36" s="2997" t="s">
        <v>3110</v>
      </c>
      <c r="T36" s="2997" t="s">
        <v>3138</v>
      </c>
      <c r="U36" s="2997"/>
      <c r="V36" s="2999">
        <v>0</v>
      </c>
      <c r="W36" s="2999" t="s">
        <v>3238</v>
      </c>
      <c r="X36" s="2999" t="s">
        <v>3113</v>
      </c>
      <c r="Y36" s="3000" t="s">
        <v>3113</v>
      </c>
      <c r="AA36" s="3028">
        <f t="shared" si="3"/>
        <v>1255.8011855018949</v>
      </c>
      <c r="AB36" s="3028" t="s">
        <v>3320</v>
      </c>
      <c r="AC36" s="2954">
        <f t="shared" si="0"/>
        <v>1993</v>
      </c>
      <c r="AD36" s="3029">
        <f>ROUND(1-(2019-AC36)/60,2)</f>
        <v>0.56999999999999995</v>
      </c>
      <c r="AE36" s="2954">
        <v>25</v>
      </c>
      <c r="AF36" s="2954">
        <f t="shared" si="1"/>
        <v>802698</v>
      </c>
      <c r="AG36" s="3028">
        <f t="shared" si="2"/>
        <v>1525.1261999999997</v>
      </c>
    </row>
    <row r="37" spans="1:46" ht="36" customHeight="1">
      <c r="B37" s="2991">
        <v>27</v>
      </c>
      <c r="C37" s="2992" t="s">
        <v>3239</v>
      </c>
      <c r="D37" s="2992" t="s">
        <v>3100</v>
      </c>
      <c r="E37" s="2992" t="s">
        <v>3240</v>
      </c>
      <c r="F37" s="2992">
        <v>1142.0999999999999</v>
      </c>
      <c r="G37" s="2992" t="s">
        <v>3102</v>
      </c>
      <c r="H37" s="2992" t="s">
        <v>3103</v>
      </c>
      <c r="I37" s="2992" t="s">
        <v>3104</v>
      </c>
      <c r="J37" s="2992" t="s">
        <v>3105</v>
      </c>
      <c r="K37" s="2992" t="s">
        <v>3241</v>
      </c>
      <c r="L37" s="2992">
        <v>1756.15</v>
      </c>
      <c r="M37" s="2992" t="s">
        <v>3242</v>
      </c>
      <c r="N37" s="3027">
        <v>32801</v>
      </c>
      <c r="O37" s="2992">
        <v>825511</v>
      </c>
      <c r="P37" s="2992" t="s">
        <v>3108</v>
      </c>
      <c r="Q37" s="2993" t="s">
        <v>3243</v>
      </c>
      <c r="R37" s="2992" t="s">
        <v>3244</v>
      </c>
      <c r="S37" s="2992" t="s">
        <v>3197</v>
      </c>
      <c r="T37" s="2992" t="s">
        <v>3138</v>
      </c>
      <c r="U37" s="2992"/>
      <c r="V37" s="2994">
        <v>0</v>
      </c>
      <c r="W37" s="2994" t="s">
        <v>3113</v>
      </c>
      <c r="X37" s="2994" t="s">
        <v>3113</v>
      </c>
      <c r="Y37" s="2995" t="s">
        <v>3113</v>
      </c>
      <c r="AA37" s="3028">
        <f t="shared" si="3"/>
        <v>470.06861600660534</v>
      </c>
      <c r="AB37" s="3030" t="s">
        <v>3319</v>
      </c>
      <c r="AC37" s="2954">
        <f t="shared" si="0"/>
        <v>1989</v>
      </c>
      <c r="AD37" s="3029">
        <f>ROUND(1-(2019-AC37)/40,2)</f>
        <v>0.25</v>
      </c>
      <c r="AE37" s="2954">
        <f>AE6</f>
        <v>26</v>
      </c>
      <c r="AF37" s="2954">
        <f t="shared" si="1"/>
        <v>547918.80000000005</v>
      </c>
      <c r="AG37" s="3028">
        <f t="shared" si="2"/>
        <v>439.03750000000002</v>
      </c>
    </row>
    <row r="38" spans="1:46" ht="36" customHeight="1">
      <c r="B38" s="2996">
        <v>28</v>
      </c>
      <c r="C38" s="2997" t="s">
        <v>3245</v>
      </c>
      <c r="D38" s="2997" t="s">
        <v>3100</v>
      </c>
      <c r="E38" s="2997" t="s">
        <v>3246</v>
      </c>
      <c r="F38" s="2997">
        <v>703</v>
      </c>
      <c r="G38" s="2997" t="s">
        <v>3102</v>
      </c>
      <c r="H38" s="2997" t="s">
        <v>3117</v>
      </c>
      <c r="I38" s="2997" t="s">
        <v>3235</v>
      </c>
      <c r="J38" s="2997" t="s">
        <v>3119</v>
      </c>
      <c r="K38" s="2997" t="s">
        <v>3247</v>
      </c>
      <c r="L38" s="2997">
        <v>1925.46</v>
      </c>
      <c r="M38" s="2997" t="s">
        <v>3146</v>
      </c>
      <c r="N38" s="3017">
        <v>33039</v>
      </c>
      <c r="O38" s="2997">
        <v>932162</v>
      </c>
      <c r="P38" s="2997" t="s">
        <v>3108</v>
      </c>
      <c r="Q38" s="2998" t="s">
        <v>3248</v>
      </c>
      <c r="R38" s="2997" t="s">
        <v>3135</v>
      </c>
      <c r="S38" s="2997" t="s">
        <v>3174</v>
      </c>
      <c r="T38" s="2997" t="s">
        <v>3138</v>
      </c>
      <c r="U38" s="2997"/>
      <c r="V38" s="2999">
        <v>0</v>
      </c>
      <c r="W38" s="2999" t="s">
        <v>3238</v>
      </c>
      <c r="X38" s="2999" t="s">
        <v>3113</v>
      </c>
      <c r="Y38" s="3000" t="s">
        <v>3113</v>
      </c>
      <c r="AA38" s="3028">
        <f t="shared" si="3"/>
        <v>484.1243131511431</v>
      </c>
      <c r="AB38" s="3028" t="s">
        <v>3320</v>
      </c>
      <c r="AC38" s="2954">
        <f t="shared" si="0"/>
        <v>1990</v>
      </c>
      <c r="AD38" s="3029">
        <f>ROUND(1-(2019-AC38)/60,2)</f>
        <v>0.52</v>
      </c>
      <c r="AE38" s="2954">
        <v>25</v>
      </c>
      <c r="AF38" s="2954">
        <f t="shared" si="1"/>
        <v>577638</v>
      </c>
      <c r="AG38" s="3028">
        <f t="shared" si="2"/>
        <v>1001.2392000000001</v>
      </c>
    </row>
    <row r="39" spans="1:46" ht="36" customHeight="1">
      <c r="B39" s="3039">
        <v>29</v>
      </c>
      <c r="C39" s="3040" t="s">
        <v>3249</v>
      </c>
      <c r="D39" s="3040" t="s">
        <v>3100</v>
      </c>
      <c r="E39" s="3040" t="s">
        <v>3250</v>
      </c>
      <c r="F39" s="3040">
        <v>592</v>
      </c>
      <c r="G39" s="3040" t="s">
        <v>3102</v>
      </c>
      <c r="H39" s="3040" t="s">
        <v>3103</v>
      </c>
      <c r="I39" s="3040" t="s">
        <v>3104</v>
      </c>
      <c r="J39" s="3040" t="s">
        <v>3105</v>
      </c>
      <c r="K39" s="3040" t="s">
        <v>3251</v>
      </c>
      <c r="L39" s="3040">
        <v>159.19999999999999</v>
      </c>
      <c r="M39" s="3040" t="s">
        <v>3252</v>
      </c>
      <c r="N39" s="3041">
        <v>33054</v>
      </c>
      <c r="O39" s="3040">
        <v>77890</v>
      </c>
      <c r="P39" s="3040" t="s">
        <v>3132</v>
      </c>
      <c r="Q39" s="3042" t="s">
        <v>3132</v>
      </c>
      <c r="R39" s="3040" t="s">
        <v>3253</v>
      </c>
      <c r="S39" s="3040" t="s">
        <v>3254</v>
      </c>
      <c r="T39" s="3040" t="s">
        <v>3138</v>
      </c>
      <c r="U39" s="3040"/>
      <c r="V39" s="3043">
        <v>0</v>
      </c>
      <c r="W39" s="3043" t="s">
        <v>3113</v>
      </c>
      <c r="X39" s="3043" t="s">
        <v>3113</v>
      </c>
      <c r="Y39" s="3044" t="s">
        <v>3113</v>
      </c>
      <c r="AA39" s="3028">
        <f t="shared" si="3"/>
        <v>489.25879396984931</v>
      </c>
      <c r="AB39" s="3028" t="s">
        <v>3303</v>
      </c>
      <c r="AC39" s="2954">
        <f t="shared" si="0"/>
        <v>1990</v>
      </c>
      <c r="AD39" s="3029">
        <f t="shared" ref="AD39:AD42" si="10">ROUND(1-(2019-AC39)/40,2)</f>
        <v>0.28000000000000003</v>
      </c>
      <c r="AF39" s="2954">
        <f t="shared" si="1"/>
        <v>0</v>
      </c>
      <c r="AG39" s="3028">
        <f t="shared" si="2"/>
        <v>44.576000000000001</v>
      </c>
    </row>
    <row r="40" spans="1:46" ht="36" customHeight="1">
      <c r="B40" s="3039">
        <v>30</v>
      </c>
      <c r="C40" s="3040" t="s">
        <v>3255</v>
      </c>
      <c r="D40" s="3040" t="s">
        <v>3100</v>
      </c>
      <c r="E40" s="3040" t="s">
        <v>3256</v>
      </c>
      <c r="F40" s="3040">
        <v>226.8</v>
      </c>
      <c r="G40" s="3040" t="s">
        <v>3102</v>
      </c>
      <c r="H40" s="3040" t="s">
        <v>3103</v>
      </c>
      <c r="I40" s="3040" t="s">
        <v>3104</v>
      </c>
      <c r="J40" s="3040" t="s">
        <v>3105</v>
      </c>
      <c r="K40" s="3040" t="s">
        <v>3257</v>
      </c>
      <c r="L40" s="3040">
        <v>59.69</v>
      </c>
      <c r="M40" s="3040" t="s">
        <v>3107</v>
      </c>
      <c r="N40" s="3041">
        <v>32040</v>
      </c>
      <c r="O40" s="3040">
        <v>35000</v>
      </c>
      <c r="P40" s="3040" t="s">
        <v>3132</v>
      </c>
      <c r="Q40" s="3042" t="s">
        <v>3132</v>
      </c>
      <c r="R40" s="3040" t="s">
        <v>3132</v>
      </c>
      <c r="S40" s="3040" t="s">
        <v>3258</v>
      </c>
      <c r="T40" s="3040" t="s">
        <v>3138</v>
      </c>
      <c r="U40" s="3040"/>
      <c r="V40" s="3043">
        <v>0</v>
      </c>
      <c r="W40" s="3043" t="s">
        <v>3113</v>
      </c>
      <c r="X40" s="3043" t="s">
        <v>3113</v>
      </c>
      <c r="Y40" s="3044" t="s">
        <v>3113</v>
      </c>
      <c r="AA40" s="3028">
        <f t="shared" si="3"/>
        <v>586.36287485340927</v>
      </c>
      <c r="AB40" s="3028" t="s">
        <v>3321</v>
      </c>
      <c r="AC40" s="2954">
        <f t="shared" si="0"/>
        <v>1987</v>
      </c>
      <c r="AD40" s="3029">
        <f t="shared" si="10"/>
        <v>0.2</v>
      </c>
      <c r="AF40" s="2954">
        <f t="shared" si="1"/>
        <v>0</v>
      </c>
      <c r="AG40" s="3028">
        <f t="shared" si="2"/>
        <v>11.938000000000001</v>
      </c>
    </row>
    <row r="41" spans="1:46" ht="36" customHeight="1">
      <c r="B41" s="3039">
        <v>31</v>
      </c>
      <c r="C41" s="3040" t="s">
        <v>3259</v>
      </c>
      <c r="D41" s="3040" t="s">
        <v>3100</v>
      </c>
      <c r="E41" s="3040" t="s">
        <v>3260</v>
      </c>
      <c r="F41" s="3040">
        <v>516.20000000000005</v>
      </c>
      <c r="G41" s="3040" t="s">
        <v>3102</v>
      </c>
      <c r="H41" s="3040" t="s">
        <v>3103</v>
      </c>
      <c r="I41" s="3040" t="s">
        <v>3104</v>
      </c>
      <c r="J41" s="3040" t="s">
        <v>3105</v>
      </c>
      <c r="K41" s="3040" t="s">
        <v>3261</v>
      </c>
      <c r="L41" s="3040">
        <v>141.80000000000001</v>
      </c>
      <c r="M41" s="3040" t="s">
        <v>3107</v>
      </c>
      <c r="N41" s="3041">
        <v>33263</v>
      </c>
      <c r="O41" s="3040">
        <v>104622</v>
      </c>
      <c r="P41" s="3040" t="s">
        <v>3132</v>
      </c>
      <c r="Q41" s="3042" t="s">
        <v>3132</v>
      </c>
      <c r="R41" s="3040" t="s">
        <v>3132</v>
      </c>
      <c r="S41" s="3040" t="s">
        <v>3258</v>
      </c>
      <c r="T41" s="3040" t="s">
        <v>3138</v>
      </c>
      <c r="U41" s="3040"/>
      <c r="V41" s="3043">
        <v>0</v>
      </c>
      <c r="W41" s="3043" t="s">
        <v>3113</v>
      </c>
      <c r="X41" s="3043" t="s">
        <v>3113</v>
      </c>
      <c r="Y41" s="3044" t="s">
        <v>3113</v>
      </c>
      <c r="AA41" s="3028">
        <f t="shared" si="3"/>
        <v>737.81382228490827</v>
      </c>
      <c r="AB41" s="3028" t="s">
        <v>3321</v>
      </c>
      <c r="AC41" s="2954">
        <f t="shared" si="0"/>
        <v>1991</v>
      </c>
      <c r="AD41" s="3029">
        <f t="shared" si="10"/>
        <v>0.3</v>
      </c>
      <c r="AF41" s="2954">
        <f t="shared" si="1"/>
        <v>0</v>
      </c>
      <c r="AG41" s="3028">
        <f t="shared" si="2"/>
        <v>42.54</v>
      </c>
    </row>
    <row r="42" spans="1:46" ht="36" customHeight="1">
      <c r="B42" s="3039">
        <v>32</v>
      </c>
      <c r="C42" s="3040" t="s">
        <v>3262</v>
      </c>
      <c r="D42" s="3040" t="s">
        <v>3100</v>
      </c>
      <c r="E42" s="3040" t="s">
        <v>3263</v>
      </c>
      <c r="F42" s="3040">
        <v>115.5</v>
      </c>
      <c r="G42" s="3040" t="s">
        <v>3102</v>
      </c>
      <c r="H42" s="3040" t="s">
        <v>3117</v>
      </c>
      <c r="I42" s="3040" t="s">
        <v>3104</v>
      </c>
      <c r="J42" s="3040" t="s">
        <v>3105</v>
      </c>
      <c r="K42" s="3040" t="s">
        <v>3264</v>
      </c>
      <c r="L42" s="3040">
        <v>43.7</v>
      </c>
      <c r="M42" s="3040" t="s">
        <v>3107</v>
      </c>
      <c r="N42" s="3041">
        <v>33227</v>
      </c>
      <c r="O42" s="3040">
        <v>123895</v>
      </c>
      <c r="P42" s="3040" t="s">
        <v>3132</v>
      </c>
      <c r="Q42" s="3042" t="s">
        <v>3132</v>
      </c>
      <c r="R42" s="3040" t="s">
        <v>3132</v>
      </c>
      <c r="S42" s="3040" t="s">
        <v>3258</v>
      </c>
      <c r="T42" s="3040" t="s">
        <v>3138</v>
      </c>
      <c r="U42" s="3040"/>
      <c r="V42" s="3043">
        <v>0</v>
      </c>
      <c r="W42" s="3043" t="s">
        <v>3113</v>
      </c>
      <c r="X42" s="3043" t="s">
        <v>3113</v>
      </c>
      <c r="Y42" s="3044" t="s">
        <v>3113</v>
      </c>
      <c r="AA42" s="3028">
        <f t="shared" si="3"/>
        <v>2835.1258581235697</v>
      </c>
      <c r="AB42" s="3028" t="s">
        <v>3321</v>
      </c>
      <c r="AC42" s="2954">
        <f t="shared" si="0"/>
        <v>1990</v>
      </c>
      <c r="AD42" s="3029">
        <f t="shared" si="10"/>
        <v>0.28000000000000003</v>
      </c>
      <c r="AF42" s="2954">
        <f t="shared" si="1"/>
        <v>0</v>
      </c>
      <c r="AG42" s="3028">
        <f t="shared" si="2"/>
        <v>12.236000000000002</v>
      </c>
    </row>
    <row r="43" spans="1:46" s="2952" customFormat="1" ht="36" customHeight="1" thickBot="1">
      <c r="A43" s="2958"/>
      <c r="B43" s="2963" t="s">
        <v>3265</v>
      </c>
      <c r="C43" s="2964"/>
      <c r="D43" s="2964"/>
      <c r="E43" s="2964"/>
      <c r="F43" s="2964">
        <f>SUM(F6:F42)</f>
        <v>95897.739999999991</v>
      </c>
      <c r="G43" s="2964"/>
      <c r="H43" s="2964"/>
      <c r="I43" s="2964"/>
      <c r="J43" s="2964"/>
      <c r="K43" s="2964"/>
      <c r="L43" s="2964">
        <f t="shared" ref="L43:O43" si="11">SUM(L6:L42)</f>
        <v>192636.23</v>
      </c>
      <c r="M43" s="2964"/>
      <c r="N43" s="3018"/>
      <c r="O43" s="2964">
        <f t="shared" si="11"/>
        <v>139985485.98000002</v>
      </c>
      <c r="P43" s="2964"/>
      <c r="Q43" s="2964"/>
      <c r="R43" s="2964"/>
      <c r="S43" s="2964"/>
      <c r="T43" s="2964"/>
      <c r="U43" s="2964"/>
      <c r="V43" s="2965"/>
      <c r="W43" s="2965"/>
      <c r="X43" s="2965"/>
      <c r="Y43" s="2966"/>
      <c r="Z43" s="2959"/>
      <c r="AA43" s="3028"/>
      <c r="AB43" s="3028"/>
      <c r="AC43" s="3034"/>
      <c r="AD43" s="3035">
        <f>SUM(AG6:AG42)/L43</f>
        <v>0.49993265026002653</v>
      </c>
      <c r="AE43" s="3034"/>
      <c r="AF43" s="3034">
        <f>SUM(AF6:AF42)</f>
        <v>56726367.600000009</v>
      </c>
      <c r="AG43" s="3038"/>
      <c r="AH43" s="3023"/>
      <c r="AI43" s="3023"/>
      <c r="AJ43" s="3023"/>
      <c r="AK43" s="3023"/>
      <c r="AL43" s="3023"/>
      <c r="AM43" s="3024"/>
      <c r="AN43" s="3024"/>
      <c r="AO43" s="3024"/>
      <c r="AP43" s="3024"/>
      <c r="AQ43" s="3024"/>
      <c r="AR43" s="3024"/>
      <c r="AS43" s="3024"/>
      <c r="AT43" s="3024"/>
    </row>
    <row r="45" spans="1:46" ht="17.25" thickBot="1">
      <c r="AC45" s="2954">
        <f>COUNTIF(AC6:AC42,1990)</f>
        <v>11</v>
      </c>
    </row>
    <row r="46" spans="1:46" s="2952" customFormat="1" ht="36" customHeight="1">
      <c r="A46" s="2958"/>
      <c r="B46" s="2974" t="s">
        <v>3301</v>
      </c>
      <c r="C46" s="2975"/>
      <c r="D46" s="2975"/>
      <c r="E46" s="2975"/>
      <c r="F46" s="2975"/>
      <c r="G46" s="2975"/>
      <c r="H46" s="2975"/>
      <c r="I46" s="2975"/>
      <c r="J46" s="2975"/>
      <c r="K46" s="2975"/>
      <c r="L46" s="3026">
        <f>SUMIF(AB:AB,"=厂房",L:L)</f>
        <v>131835.55000000002</v>
      </c>
      <c r="M46" s="3046">
        <f>L46/$L$49</f>
        <v>0.68437567533376242</v>
      </c>
      <c r="N46" s="3019"/>
      <c r="O46" s="2975"/>
      <c r="P46" s="2975"/>
      <c r="Q46" s="2975"/>
      <c r="R46" s="2975"/>
      <c r="S46" s="2975"/>
      <c r="T46" s="2975"/>
      <c r="U46" s="2975"/>
      <c r="V46" s="2976"/>
      <c r="W46" s="2976"/>
      <c r="X46" s="2976"/>
      <c r="Y46" s="2977"/>
      <c r="Z46" s="2959"/>
      <c r="AA46" s="3028"/>
      <c r="AB46" s="3028"/>
      <c r="AC46" s="3034"/>
      <c r="AD46" s="3035"/>
      <c r="AE46" s="3034"/>
      <c r="AF46" s="3034"/>
      <c r="AG46" s="3038"/>
      <c r="AH46" s="3023"/>
      <c r="AI46" s="3023"/>
      <c r="AJ46" s="3023"/>
      <c r="AK46" s="3023"/>
      <c r="AL46" s="3023"/>
      <c r="AM46" s="3024"/>
      <c r="AN46" s="3024"/>
      <c r="AO46" s="3024"/>
      <c r="AP46" s="3024"/>
      <c r="AQ46" s="3024"/>
      <c r="AR46" s="3024"/>
      <c r="AS46" s="3024"/>
      <c r="AT46" s="3024"/>
    </row>
    <row r="47" spans="1:46" s="2952" customFormat="1" ht="36" customHeight="1">
      <c r="A47" s="2958"/>
      <c r="B47" s="2978" t="s">
        <v>3302</v>
      </c>
      <c r="C47" s="2973"/>
      <c r="D47" s="2973"/>
      <c r="E47" s="2973"/>
      <c r="F47" s="2973"/>
      <c r="G47" s="2973"/>
      <c r="H47" s="2973"/>
      <c r="I47" s="2973"/>
      <c r="J47" s="2973"/>
      <c r="K47" s="2973"/>
      <c r="L47" s="2973">
        <f>SUMIF(AB:AB,"=宿舍",L:L)</f>
        <v>60396.29</v>
      </c>
      <c r="M47" s="3045">
        <f>L47/$L$49</f>
        <v>0.31352508300229914</v>
      </c>
      <c r="N47" s="3020"/>
      <c r="O47" s="2973"/>
      <c r="P47" s="2973"/>
      <c r="Q47" s="2973"/>
      <c r="R47" s="2973"/>
      <c r="S47" s="2973"/>
      <c r="T47" s="2973"/>
      <c r="U47" s="2973"/>
      <c r="V47" s="2972"/>
      <c r="W47" s="2972"/>
      <c r="X47" s="2972"/>
      <c r="Y47" s="2979"/>
      <c r="Z47" s="2959"/>
      <c r="AA47" s="3028"/>
      <c r="AB47" s="3028"/>
      <c r="AC47" s="3034"/>
      <c r="AD47" s="3035"/>
      <c r="AE47" s="3034"/>
      <c r="AF47" s="3034"/>
      <c r="AG47" s="3038"/>
      <c r="AH47" s="3023"/>
      <c r="AI47" s="3023"/>
      <c r="AJ47" s="3023"/>
      <c r="AK47" s="3023"/>
      <c r="AL47" s="3023"/>
      <c r="AM47" s="3024"/>
      <c r="AN47" s="3024"/>
      <c r="AO47" s="3024"/>
      <c r="AP47" s="3024"/>
      <c r="AQ47" s="3024"/>
      <c r="AR47" s="3024"/>
      <c r="AS47" s="3024"/>
      <c r="AT47" s="3024"/>
    </row>
    <row r="48" spans="1:46" s="2952" customFormat="1" ht="36" customHeight="1">
      <c r="A48" s="2958"/>
      <c r="B48" s="2978" t="s">
        <v>3303</v>
      </c>
      <c r="C48" s="2973"/>
      <c r="D48" s="2973"/>
      <c r="E48" s="2973"/>
      <c r="F48" s="2973"/>
      <c r="G48" s="2973"/>
      <c r="H48" s="2973"/>
      <c r="I48" s="2973"/>
      <c r="J48" s="2973"/>
      <c r="K48" s="2973"/>
      <c r="L48" s="2973">
        <f>SUMIF(AB:AB,"=配套",L:L)</f>
        <v>404.39</v>
      </c>
      <c r="M48" s="3045">
        <f>L48/$L$49</f>
        <v>2.0992416639382941E-3</v>
      </c>
      <c r="N48" s="3020"/>
      <c r="O48" s="2973"/>
      <c r="P48" s="2973"/>
      <c r="Q48" s="2973"/>
      <c r="R48" s="2973"/>
      <c r="S48" s="2973"/>
      <c r="T48" s="2973"/>
      <c r="U48" s="2973"/>
      <c r="V48" s="2972"/>
      <c r="W48" s="2972"/>
      <c r="X48" s="2972"/>
      <c r="Y48" s="2979"/>
      <c r="Z48" s="2959"/>
      <c r="AA48" s="3036"/>
      <c r="AB48" s="3036"/>
      <c r="AC48" s="3034"/>
      <c r="AD48" s="3035"/>
      <c r="AE48" s="3034"/>
      <c r="AF48" s="3034"/>
      <c r="AG48" s="3038"/>
      <c r="AH48" s="3023"/>
      <c r="AI48" s="3023"/>
      <c r="AJ48" s="3023"/>
      <c r="AK48" s="3023"/>
      <c r="AL48" s="3023"/>
      <c r="AM48" s="3024"/>
      <c r="AN48" s="3024"/>
      <c r="AO48" s="3024"/>
      <c r="AP48" s="3024"/>
      <c r="AQ48" s="3024"/>
      <c r="AR48" s="3024"/>
      <c r="AS48" s="3024"/>
      <c r="AT48" s="3024"/>
    </row>
    <row r="49" spans="1:46" s="2952" customFormat="1" ht="36" customHeight="1" thickBot="1">
      <c r="A49" s="2958"/>
      <c r="B49" s="2963" t="s">
        <v>3304</v>
      </c>
      <c r="C49" s="2964"/>
      <c r="D49" s="2964"/>
      <c r="E49" s="2964"/>
      <c r="F49" s="2964"/>
      <c r="G49" s="2964"/>
      <c r="H49" s="2964"/>
      <c r="I49" s="2964"/>
      <c r="J49" s="2964"/>
      <c r="K49" s="2964"/>
      <c r="L49" s="2964">
        <f>SUM(L46:L48)</f>
        <v>192636.23000000004</v>
      </c>
      <c r="M49" s="3047"/>
      <c r="N49" s="3018"/>
      <c r="O49" s="2964"/>
      <c r="P49" s="2964"/>
      <c r="Q49" s="2964"/>
      <c r="R49" s="2964"/>
      <c r="S49" s="2964"/>
      <c r="T49" s="2964"/>
      <c r="U49" s="2964"/>
      <c r="V49" s="2965"/>
      <c r="W49" s="2965"/>
      <c r="X49" s="2965"/>
      <c r="Y49" s="2966"/>
      <c r="Z49" s="2959"/>
      <c r="AA49" s="3036"/>
      <c r="AB49" s="3036"/>
      <c r="AC49" s="3034"/>
      <c r="AD49" s="3035"/>
      <c r="AE49" s="3034"/>
      <c r="AF49" s="3034"/>
      <c r="AG49" s="3038"/>
      <c r="AH49" s="3023"/>
      <c r="AI49" s="3023"/>
      <c r="AJ49" s="3023"/>
      <c r="AK49" s="3023"/>
      <c r="AL49" s="3023"/>
      <c r="AM49" s="3024"/>
      <c r="AN49" s="3024"/>
      <c r="AO49" s="3024"/>
      <c r="AP49" s="3024"/>
      <c r="AQ49" s="3024"/>
      <c r="AR49" s="3024"/>
      <c r="AS49" s="3024"/>
      <c r="AT49" s="3024"/>
    </row>
    <row r="52" spans="1:46">
      <c r="T52" s="2955">
        <f>COUNTIF(T6:T42,T6)</f>
        <v>11</v>
      </c>
    </row>
    <row r="72" spans="1:1">
      <c r="A72" s="3064" t="s">
        <v>3517</v>
      </c>
    </row>
  </sheetData>
  <mergeCells count="31">
    <mergeCell ref="AF4:AF5"/>
    <mergeCell ref="V4:V5"/>
    <mergeCell ref="W4:W5"/>
    <mergeCell ref="X4:X5"/>
    <mergeCell ref="D4:D5"/>
    <mergeCell ref="E4:J4"/>
    <mergeCell ref="K4:O4"/>
    <mergeCell ref="P4:P5"/>
    <mergeCell ref="T4:T5"/>
    <mergeCell ref="U4:U5"/>
    <mergeCell ref="AE4:AE5"/>
    <mergeCell ref="B4:B5"/>
    <mergeCell ref="C4:C5"/>
    <mergeCell ref="B21:B26"/>
    <mergeCell ref="C21:C26"/>
    <mergeCell ref="D21:D26"/>
    <mergeCell ref="E21:E26"/>
    <mergeCell ref="F21:F26"/>
    <mergeCell ref="AC4:AC5"/>
    <mergeCell ref="AD4:AD5"/>
    <mergeCell ref="AB4:AB5"/>
    <mergeCell ref="P21:P26"/>
    <mergeCell ref="G21:G26"/>
    <mergeCell ref="H21:H26"/>
    <mergeCell ref="AA4:AA5"/>
    <mergeCell ref="Q4:Q5"/>
    <mergeCell ref="R4:R5"/>
    <mergeCell ref="S4:S5"/>
    <mergeCell ref="I21:I26"/>
    <mergeCell ref="J21:J26"/>
    <mergeCell ref="Y4:Y5"/>
  </mergeCells>
  <phoneticPr fontId="143" type="noConversion"/>
  <hyperlinks>
    <hyperlink ref="A72" r:id="rId1"/>
    <hyperlink ref="B2" r:id="rId2"/>
  </hyperlinks>
  <pageMargins left="0.75" right="0.75" top="1" bottom="1" header="0.5" footer="0.5"/>
  <pageSetup paperSize="9" orientation="portrait" horizontalDpi="4294967292" verticalDpi="4294967292"/>
  <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E22" sqref="E22"/>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1929</v>
      </c>
      <c r="B1" s="1392"/>
      <c r="C1" s="1392"/>
      <c r="D1" s="1392"/>
      <c r="E1" s="1392"/>
      <c r="F1" s="1392"/>
      <c r="G1" s="1392"/>
      <c r="H1" s="1392"/>
      <c r="I1" s="1392"/>
      <c r="J1" s="1392"/>
      <c r="K1" s="1392"/>
      <c r="L1" s="1392"/>
      <c r="M1" s="1392"/>
      <c r="N1" s="1392"/>
      <c r="O1" s="1392"/>
      <c r="P1" s="1392"/>
    </row>
    <row r="2" spans="1:16" ht="15">
      <c r="A2" s="3241" t="s">
        <v>1930</v>
      </c>
      <c r="B2" s="3241"/>
      <c r="C2" s="3241"/>
      <c r="D2" s="967" t="s">
        <v>1906</v>
      </c>
      <c r="E2" s="2224" t="s">
        <v>1907</v>
      </c>
      <c r="F2" s="1392"/>
      <c r="G2" s="2225"/>
      <c r="H2" s="2226"/>
      <c r="I2" s="2227" t="s">
        <v>1931</v>
      </c>
      <c r="J2" s="1392"/>
      <c r="K2" s="1392"/>
      <c r="L2" s="1392"/>
      <c r="M2" s="1392"/>
      <c r="N2" s="1427"/>
      <c r="O2" s="1392"/>
      <c r="P2" s="1392"/>
    </row>
    <row r="3" spans="1:16" ht="15.75" thickBot="1">
      <c r="A3" s="3242" t="s">
        <v>1904</v>
      </c>
      <c r="B3" s="3242"/>
      <c r="C3" s="3242"/>
      <c r="D3" s="46">
        <f>'数据-基础表'!AY6</f>
        <v>95897.74</v>
      </c>
      <c r="E3" s="46">
        <f>'数据-基础表'!AZ5</f>
        <v>193040.62000000002</v>
      </c>
      <c r="F3" s="1392"/>
      <c r="G3" s="1399"/>
      <c r="H3" s="1247" t="s">
        <v>1905</v>
      </c>
      <c r="I3" s="55">
        <f>ROUND('数据-基础表'!B3/'数据-基础表'!A3,2)</f>
        <v>2.0099999999999998</v>
      </c>
      <c r="J3" s="1392"/>
      <c r="K3" s="1392"/>
      <c r="L3" s="1392"/>
      <c r="M3" s="1392"/>
      <c r="N3" s="1427"/>
      <c r="O3" s="1392"/>
      <c r="P3" s="1392"/>
    </row>
    <row r="4" spans="1:16" ht="15">
      <c r="A4" s="3243"/>
      <c r="B4" s="3244"/>
      <c r="C4" s="3245"/>
      <c r="D4" s="2228" t="s">
        <v>1906</v>
      </c>
      <c r="E4" s="2229" t="s">
        <v>1907</v>
      </c>
      <c r="F4" s="1392"/>
      <c r="G4" s="2230" t="s">
        <v>1932</v>
      </c>
      <c r="H4" s="1247" t="s">
        <v>1912</v>
      </c>
      <c r="I4" s="55">
        <f>ROUND(SUMIF('数据-基础表'!I9:AS9,"地上",'数据-基础表'!I5:AS5)/'数据-基础表'!A3,2)</f>
        <v>2.0099999999999998</v>
      </c>
      <c r="J4" s="1392"/>
      <c r="K4" s="1392"/>
      <c r="L4" s="1392"/>
      <c r="M4" s="1392"/>
      <c r="N4" s="1427"/>
      <c r="O4" s="1392"/>
      <c r="P4" s="1392"/>
    </row>
    <row r="5" spans="1:16">
      <c r="A5" s="47" t="s">
        <v>1908</v>
      </c>
      <c r="B5" s="3246" t="s">
        <v>1909</v>
      </c>
      <c r="C5" s="3246"/>
      <c r="D5" s="48">
        <f>ROUND($D$3*E5/$E$3,2)</f>
        <v>0</v>
      </c>
      <c r="E5" s="49">
        <f>SUMIF('数据-基础表'!$11:$11,"住宅",'数据-基础表'!$5:$5)</f>
        <v>0</v>
      </c>
      <c r="F5" s="1392"/>
      <c r="G5" s="1399"/>
      <c r="H5" s="1247" t="s">
        <v>1905</v>
      </c>
      <c r="I5" s="55">
        <f>ROUND(E31/D31,2)</f>
        <v>2.0099999999999998</v>
      </c>
      <c r="J5" s="1392"/>
      <c r="K5" s="1392"/>
      <c r="L5" s="1392"/>
      <c r="M5" s="1392"/>
      <c r="N5" s="1392"/>
      <c r="O5" s="1392"/>
      <c r="P5" s="1392"/>
    </row>
    <row r="6" spans="1:16" ht="15" thickBot="1">
      <c r="A6" s="2231"/>
      <c r="B6" s="3246" t="s">
        <v>1910</v>
      </c>
      <c r="C6" s="3246"/>
      <c r="D6" s="48">
        <f>ROUND($D$3*E6/$E$3,2)</f>
        <v>95897.74</v>
      </c>
      <c r="E6" s="49">
        <f>E3-E5</f>
        <v>193040.62000000002</v>
      </c>
      <c r="F6" s="1392"/>
      <c r="G6" s="2232" t="s">
        <v>1911</v>
      </c>
      <c r="H6" s="1399" t="s">
        <v>1912</v>
      </c>
      <c r="I6" s="939">
        <f>ROUND(F31/D31,2)</f>
        <v>2.0099999999999998</v>
      </c>
      <c r="J6" s="1392"/>
      <c r="K6" s="1392"/>
      <c r="L6" s="1392"/>
      <c r="M6" s="1392"/>
      <c r="N6" s="1392"/>
      <c r="O6" s="1392"/>
      <c r="P6" s="1392"/>
    </row>
    <row r="7" spans="1:16" ht="15">
      <c r="A7" s="3238"/>
      <c r="B7" s="3239"/>
      <c r="C7" s="3240"/>
      <c r="D7" s="2228" t="s">
        <v>1906</v>
      </c>
      <c r="E7" s="2233" t="s">
        <v>1913</v>
      </c>
      <c r="F7" s="1392"/>
      <c r="G7" s="2225" t="s">
        <v>1914</v>
      </c>
      <c r="H7" s="64"/>
      <c r="I7" s="420"/>
      <c r="J7" s="1392"/>
      <c r="K7" s="1392"/>
      <c r="L7" s="1392"/>
      <c r="M7" s="1392"/>
      <c r="N7" s="1392"/>
      <c r="O7" s="1392"/>
      <c r="P7" s="1392"/>
    </row>
    <row r="8" spans="1:16">
      <c r="A8" s="47" t="s">
        <v>1915</v>
      </c>
      <c r="B8" s="50" t="s">
        <v>1916</v>
      </c>
      <c r="C8" s="48" t="s">
        <v>1917</v>
      </c>
      <c r="D8" s="48">
        <f t="shared" ref="D8:D15" si="0">ROUND($D$3*E8/$E$3,2)</f>
        <v>95696.85</v>
      </c>
      <c r="E8" s="51">
        <f>SUMIF('数据-基础表'!BB10:BK10,"地上",'数据-基础表'!BB5:BK5)</f>
        <v>192636.23</v>
      </c>
      <c r="F8" s="1392"/>
      <c r="G8" s="2234"/>
      <c r="H8" s="2234"/>
      <c r="I8" s="1392"/>
      <c r="J8" s="1392"/>
      <c r="K8" s="1392"/>
      <c r="L8" s="1392"/>
      <c r="M8" s="1392"/>
      <c r="N8" s="1392"/>
      <c r="O8" s="1392"/>
      <c r="P8" s="1392"/>
    </row>
    <row r="9" spans="1:16">
      <c r="A9" s="2235"/>
      <c r="B9" s="2236"/>
      <c r="C9" s="48" t="s">
        <v>1918</v>
      </c>
      <c r="D9" s="48">
        <f t="shared" si="0"/>
        <v>0</v>
      </c>
      <c r="E9" s="52">
        <v>0</v>
      </c>
      <c r="F9" s="1392"/>
      <c r="G9" s="2234"/>
      <c r="H9" s="2234"/>
      <c r="I9" s="1392"/>
      <c r="J9" s="1392"/>
      <c r="K9" s="1392"/>
      <c r="L9" s="1392"/>
      <c r="M9" s="1392"/>
      <c r="N9" s="1392"/>
      <c r="O9" s="1392"/>
      <c r="P9" s="1392"/>
    </row>
    <row r="10" spans="1:16">
      <c r="A10" s="2235"/>
      <c r="B10" s="2236"/>
      <c r="C10" s="48" t="s">
        <v>1927</v>
      </c>
      <c r="D10" s="48">
        <f t="shared" si="0"/>
        <v>0</v>
      </c>
      <c r="E10" s="51">
        <f>SUMPRODUCT(('数据-基础表'!BB10:BK10="地下")*('数据-基础表'!BB11:BK11="商业")*('数据-基础表'!BB5:BK5))</f>
        <v>0</v>
      </c>
      <c r="F10" s="1392"/>
      <c r="G10" s="2234"/>
      <c r="H10" s="2234"/>
      <c r="I10" s="1392"/>
      <c r="J10" s="1392"/>
      <c r="K10" s="1392"/>
      <c r="L10" s="1392"/>
      <c r="M10" s="1392"/>
      <c r="N10" s="1392"/>
      <c r="O10" s="1392"/>
      <c r="P10" s="1392"/>
    </row>
    <row r="11" spans="1:16">
      <c r="A11" s="2235"/>
      <c r="B11" s="2236"/>
      <c r="C11" s="48" t="s">
        <v>1919</v>
      </c>
      <c r="D11" s="48">
        <f t="shared" si="0"/>
        <v>0</v>
      </c>
      <c r="E11" s="51">
        <f>SUMPRODUCT(('数据-基础表'!BB10:BK10="地下")*('数据-基础表'!BB11:BK11="办公")*('数据-基础表'!BB5:BK5))+'数据-基础表'!BP5</f>
        <v>0</v>
      </c>
      <c r="F11" s="1392"/>
      <c r="G11" s="2234"/>
      <c r="H11" s="2234"/>
      <c r="I11" s="1392"/>
      <c r="J11" s="1392"/>
      <c r="K11" s="1392"/>
      <c r="L11" s="1392"/>
      <c r="M11" s="1392"/>
      <c r="N11" s="1392"/>
      <c r="O11" s="1392"/>
      <c r="P11" s="1392"/>
    </row>
    <row r="12" spans="1:16">
      <c r="A12" s="2235"/>
      <c r="B12" s="2236"/>
      <c r="C12" s="48" t="s">
        <v>1920</v>
      </c>
      <c r="D12" s="48">
        <f t="shared" si="0"/>
        <v>0</v>
      </c>
      <c r="E12" s="51">
        <f>SUMPRODUCT(('数据-基础表'!BB10:BK10="地下")*('数据-基础表'!BB11:BK11="仓储")*('数据-基础表'!BB5:BK5))</f>
        <v>0</v>
      </c>
      <c r="F12" s="1392"/>
      <c r="G12" s="2234"/>
      <c r="H12" s="2234"/>
      <c r="I12" s="1392"/>
      <c r="J12" s="1392"/>
      <c r="K12" s="1392"/>
      <c r="L12" s="1392"/>
      <c r="M12" s="1392"/>
      <c r="N12" s="1392"/>
      <c r="O12" s="1392"/>
      <c r="P12" s="1392"/>
    </row>
    <row r="13" spans="1:16">
      <c r="A13" s="2235"/>
      <c r="B13" s="2236"/>
      <c r="C13" s="48" t="s">
        <v>1921</v>
      </c>
      <c r="D13" s="48">
        <f t="shared" si="0"/>
        <v>0</v>
      </c>
      <c r="E13" s="51">
        <f>SUMPRODUCT(('数据-基础表'!BB10:BK10="地下")*('数据-基础表'!BB11:BK11="车库")*('数据-基础表'!BB5:BK5))</f>
        <v>0</v>
      </c>
      <c r="F13" s="1392"/>
      <c r="G13" s="2234"/>
      <c r="H13" s="2234"/>
      <c r="I13" s="1392"/>
      <c r="J13" s="1392"/>
      <c r="K13" s="1392"/>
      <c r="L13" s="1392"/>
      <c r="M13" s="1392"/>
      <c r="N13" s="1392"/>
      <c r="O13" s="1392"/>
      <c r="P13" s="1392"/>
    </row>
    <row r="14" spans="1:16">
      <c r="A14" s="2235"/>
      <c r="B14" s="2236"/>
      <c r="C14" s="48" t="s">
        <v>1933</v>
      </c>
      <c r="D14" s="48">
        <f t="shared" si="0"/>
        <v>0</v>
      </c>
      <c r="E14" s="51">
        <f>SUMPRODUCT(('数据-基础表'!BB10:BK10="地下")*('数据-基础表'!BB11:BK11="车库—商业")*('数据-基础表'!BB5:BK5))</f>
        <v>0</v>
      </c>
      <c r="F14" s="1392"/>
      <c r="G14" s="2234"/>
      <c r="H14" s="2234"/>
      <c r="I14" s="1392"/>
      <c r="J14" s="1392"/>
      <c r="K14" s="1392"/>
      <c r="L14" s="1392"/>
      <c r="M14" s="1392"/>
      <c r="N14" s="1392"/>
      <c r="O14" s="1392"/>
      <c r="P14" s="1392"/>
    </row>
    <row r="15" spans="1:16" ht="15" thickBot="1">
      <c r="A15" s="2235"/>
      <c r="B15" s="2236"/>
      <c r="C15" s="48" t="s">
        <v>1928</v>
      </c>
      <c r="D15" s="48">
        <f t="shared" si="0"/>
        <v>0</v>
      </c>
      <c r="E15" s="51">
        <f>SUMPRODUCT(('数据-基础表'!BB10:BK10="地下")*('数据-基础表'!BB11:BK11="车库—办公")*('数据-基础表'!BB5:BK5))</f>
        <v>0</v>
      </c>
      <c r="F15" s="1392"/>
      <c r="G15" s="2234"/>
      <c r="H15" s="2234"/>
      <c r="I15" s="1392"/>
      <c r="J15" s="1392"/>
      <c r="K15" s="1392"/>
      <c r="L15" s="1392"/>
      <c r="M15" s="1392"/>
      <c r="N15" s="1392"/>
      <c r="O15" s="1392"/>
      <c r="P15" s="1392"/>
    </row>
    <row r="16" spans="1:16" ht="15.75" thickBot="1">
      <c r="A16" s="2231"/>
      <c r="B16" s="2236"/>
      <c r="C16" s="50" t="s">
        <v>1922</v>
      </c>
      <c r="D16" s="50">
        <f>SUM(D8:D15)</f>
        <v>95696.85</v>
      </c>
      <c r="E16" s="53">
        <f>SUM(E8:E15)</f>
        <v>192636.23</v>
      </c>
      <c r="F16" s="1392"/>
      <c r="G16" s="2234"/>
      <c r="H16" s="2237" t="s">
        <v>1934</v>
      </c>
      <c r="I16" s="2238"/>
      <c r="J16" s="1392"/>
      <c r="K16" s="3235" t="s">
        <v>1934</v>
      </c>
      <c r="L16" s="3236"/>
      <c r="M16" s="3236"/>
      <c r="N16" s="3236"/>
      <c r="O16" s="3236"/>
      <c r="P16" s="3237"/>
    </row>
    <row r="17" spans="1:19" ht="15">
      <c r="A17" s="2239" t="s">
        <v>1935</v>
      </c>
      <c r="B17" s="2240" t="s">
        <v>1936</v>
      </c>
      <c r="C17" s="2241" t="s">
        <v>1937</v>
      </c>
      <c r="D17" s="2242" t="s">
        <v>1925</v>
      </c>
      <c r="E17" s="2243" t="s">
        <v>1926</v>
      </c>
      <c r="F17" s="2244"/>
      <c r="G17" s="2245"/>
      <c r="H17" s="2246" t="s">
        <v>1938</v>
      </c>
      <c r="I17" s="2247" t="s">
        <v>1923</v>
      </c>
      <c r="J17" s="1392"/>
      <c r="K17" s="3232" t="s">
        <v>1939</v>
      </c>
      <c r="L17" s="3233"/>
      <c r="M17" s="3234"/>
      <c r="N17" s="3232" t="s">
        <v>1940</v>
      </c>
      <c r="O17" s="3233"/>
      <c r="P17" s="3234"/>
      <c r="R17" s="2225" t="s">
        <v>1941</v>
      </c>
      <c r="S17" s="64"/>
    </row>
    <row r="18" spans="1:19" ht="15">
      <c r="A18" s="2235"/>
      <c r="B18" s="2248"/>
      <c r="C18" s="2249"/>
      <c r="D18" s="2250"/>
      <c r="E18" s="2251" t="s">
        <v>1942</v>
      </c>
      <c r="F18" s="2252" t="s">
        <v>1943</v>
      </c>
      <c r="G18" s="2253" t="s">
        <v>1944</v>
      </c>
      <c r="H18" s="1262" t="s">
        <v>1945</v>
      </c>
      <c r="I18" s="2254" t="s">
        <v>1946</v>
      </c>
      <c r="J18" s="1392"/>
      <c r="K18" s="1262" t="s">
        <v>1947</v>
      </c>
      <c r="L18" s="2255" t="s">
        <v>1948</v>
      </c>
      <c r="M18" s="1046" t="s">
        <v>1949</v>
      </c>
      <c r="N18" s="1262" t="s">
        <v>1947</v>
      </c>
      <c r="O18" s="2255" t="s">
        <v>1948</v>
      </c>
      <c r="P18" s="1046" t="s">
        <v>1949</v>
      </c>
      <c r="R18" s="1247" t="s">
        <v>1950</v>
      </c>
      <c r="S18" s="1247" t="s">
        <v>1951</v>
      </c>
    </row>
    <row r="19" spans="1:19">
      <c r="A19" s="2256"/>
      <c r="B19" s="50" t="s">
        <v>1924</v>
      </c>
      <c r="C19" s="2950" t="s">
        <v>3317</v>
      </c>
      <c r="D19" s="48">
        <f>ROUND($D$3*E19/$E$3,2)</f>
        <v>95696.85</v>
      </c>
      <c r="E19" s="56">
        <f t="shared" ref="E19:E26" si="1">SUM(F19:G19)</f>
        <v>192636.23</v>
      </c>
      <c r="F19" s="57">
        <f>'数据-基础表'!I13</f>
        <v>192636.23</v>
      </c>
      <c r="G19" s="58"/>
      <c r="H19" s="723">
        <f>ROUND($D$3*I19/$E$3,2)</f>
        <v>200.89</v>
      </c>
      <c r="I19" s="51">
        <f t="shared" ref="I19:I26" si="2">IF($I$17="自定义",P19,M19)</f>
        <v>404.39</v>
      </c>
      <c r="J19" s="1392"/>
      <c r="K19" s="1391">
        <f t="shared" ref="K19:K26" si="3">ROUND(E$28*E19/E$27,2)</f>
        <v>404.39</v>
      </c>
      <c r="L19" s="1247">
        <f t="shared" ref="L19:L26" si="4">ROUND(IF(COUNTIF(C19,"*住宅*")&gt;0,E$29*E19/E$32,0),2)</f>
        <v>0</v>
      </c>
      <c r="M19" s="1403">
        <f>K19+L19</f>
        <v>404.39</v>
      </c>
      <c r="N19" s="2257"/>
      <c r="O19" s="2258"/>
      <c r="P19" s="1403">
        <f>N19+O19</f>
        <v>0</v>
      </c>
      <c r="R19" s="1247">
        <f t="shared" ref="R19:S26" si="5">D19+H19</f>
        <v>95897.74</v>
      </c>
      <c r="S19" s="1248">
        <f t="shared" si="5"/>
        <v>193040.62000000002</v>
      </c>
    </row>
    <row r="20" spans="1:19">
      <c r="A20" s="2259"/>
      <c r="B20" s="50" t="s">
        <v>1952</v>
      </c>
      <c r="C20" s="2950"/>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7"/>
      <c r="O20" s="2258"/>
      <c r="P20" s="1403">
        <f t="shared" ref="P20:P26" si="9">N20+O20</f>
        <v>0</v>
      </c>
      <c r="R20" s="1247">
        <f t="shared" si="5"/>
        <v>0</v>
      </c>
      <c r="S20" s="1248">
        <f t="shared" si="5"/>
        <v>0</v>
      </c>
    </row>
    <row r="21" spans="1:19">
      <c r="A21" s="2259"/>
      <c r="B21" s="50" t="s">
        <v>1952</v>
      </c>
      <c r="C21" s="2950"/>
      <c r="D21" s="48">
        <f t="shared" si="6"/>
        <v>0</v>
      </c>
      <c r="E21" s="56">
        <f t="shared" si="1"/>
        <v>0</v>
      </c>
      <c r="F21" s="57"/>
      <c r="G21" s="58"/>
      <c r="H21" s="723">
        <f t="shared" si="7"/>
        <v>0</v>
      </c>
      <c r="I21" s="51">
        <f t="shared" si="2"/>
        <v>0</v>
      </c>
      <c r="J21" s="1392"/>
      <c r="K21" s="1391">
        <f t="shared" si="3"/>
        <v>0</v>
      </c>
      <c r="L21" s="1247">
        <f t="shared" si="4"/>
        <v>0</v>
      </c>
      <c r="M21" s="1403">
        <f t="shared" si="8"/>
        <v>0</v>
      </c>
      <c r="N21" s="2257"/>
      <c r="O21" s="2258"/>
      <c r="P21" s="1403">
        <f t="shared" si="9"/>
        <v>0</v>
      </c>
      <c r="R21" s="1247">
        <f t="shared" si="5"/>
        <v>0</v>
      </c>
      <c r="S21" s="1248">
        <f t="shared" si="5"/>
        <v>0</v>
      </c>
    </row>
    <row r="22" spans="1:19">
      <c r="A22" s="2259"/>
      <c r="B22" s="50" t="s">
        <v>1952</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7"/>
      <c r="O22" s="2258"/>
      <c r="P22" s="1403">
        <f t="shared" si="9"/>
        <v>0</v>
      </c>
      <c r="R22" s="1247">
        <f t="shared" si="5"/>
        <v>0</v>
      </c>
      <c r="S22" s="1248">
        <f t="shared" si="5"/>
        <v>0</v>
      </c>
    </row>
    <row r="23" spans="1:19">
      <c r="A23" s="2259"/>
      <c r="B23" s="50" t="s">
        <v>1952</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7"/>
      <c r="O23" s="2258"/>
      <c r="P23" s="1403">
        <f t="shared" si="9"/>
        <v>0</v>
      </c>
      <c r="R23" s="1247">
        <f t="shared" si="5"/>
        <v>0</v>
      </c>
      <c r="S23" s="1248">
        <f t="shared" si="5"/>
        <v>0</v>
      </c>
    </row>
    <row r="24" spans="1:19">
      <c r="A24" s="2259"/>
      <c r="B24" s="50" t="s">
        <v>1952</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7"/>
      <c r="O24" s="2258"/>
      <c r="P24" s="1403">
        <f t="shared" si="9"/>
        <v>0</v>
      </c>
      <c r="R24" s="1247">
        <f t="shared" si="5"/>
        <v>0</v>
      </c>
      <c r="S24" s="1248">
        <f t="shared" si="5"/>
        <v>0</v>
      </c>
    </row>
    <row r="25" spans="1:19">
      <c r="A25" s="2259"/>
      <c r="B25" s="50" t="s">
        <v>1952</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7"/>
      <c r="O25" s="2258"/>
      <c r="P25" s="1403">
        <f t="shared" si="9"/>
        <v>0</v>
      </c>
      <c r="R25" s="1247">
        <f t="shared" si="5"/>
        <v>0</v>
      </c>
      <c r="S25" s="1248">
        <f t="shared" si="5"/>
        <v>0</v>
      </c>
    </row>
    <row r="26" spans="1:19">
      <c r="A26" s="2259"/>
      <c r="B26" s="50" t="s">
        <v>1952</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0"/>
      <c r="O26" s="2261"/>
      <c r="P26" s="67">
        <f t="shared" si="9"/>
        <v>0</v>
      </c>
      <c r="R26" s="1247">
        <f t="shared" si="5"/>
        <v>0</v>
      </c>
      <c r="S26" s="1248">
        <f t="shared" si="5"/>
        <v>0</v>
      </c>
    </row>
    <row r="27" spans="1:19" ht="15.75" thickBot="1">
      <c r="A27" s="2259"/>
      <c r="B27" s="48"/>
      <c r="C27" s="2262" t="s">
        <v>1953</v>
      </c>
      <c r="D27" s="1393">
        <f>SUM(D19:D26)</f>
        <v>95696.85</v>
      </c>
      <c r="E27" s="1394">
        <f>IF(SUM(E19:E26)='数据-基础表'!BA5,SUM(E19:E26),IF(F27="地上面积有误","面积有误","地下面积有误"))</f>
        <v>192636.23</v>
      </c>
      <c r="F27" s="1393">
        <f>IF(SUM(F19:F26)=E8,SUM(F19:F26),"地上面积有误")</f>
        <v>192636.23</v>
      </c>
      <c r="G27" s="1395">
        <f>SUM(G19:G26)</f>
        <v>0</v>
      </c>
      <c r="H27" s="1396">
        <f>SUM(H19:H26)</f>
        <v>200.89</v>
      </c>
      <c r="I27" s="1397">
        <f>SUM(I19:I26)</f>
        <v>404.39</v>
      </c>
      <c r="J27" s="1392"/>
      <c r="K27" s="1400">
        <f>SUM(K19:K26)</f>
        <v>404.39</v>
      </c>
      <c r="L27" s="1401">
        <f>SUM(L19:L26)</f>
        <v>0</v>
      </c>
      <c r="M27" s="1404">
        <f>SUM(M19:M26)</f>
        <v>404.39</v>
      </c>
      <c r="N27" s="1400">
        <f t="shared" ref="N27:O27" si="10">SUM(N19:N26)</f>
        <v>0</v>
      </c>
      <c r="O27" s="1401">
        <f t="shared" si="10"/>
        <v>0</v>
      </c>
      <c r="P27" s="1402">
        <f>SUM(P19:P26)</f>
        <v>0</v>
      </c>
      <c r="R27" s="1249">
        <f>IF(SUM(R19:R26)=$D$3,SUM(R19:R26),SUM(R19:R26)&amp;"误差"&amp;ROUND(SUM(R19:R26)-$D$3,2))</f>
        <v>95897.74</v>
      </c>
      <c r="S27" s="1247">
        <f>IF(SUM(S19:S26)=$E$3,SUM(S19:S26),SUM(S19:S26)&amp;"误差"&amp;ROUND(SUM(S19:S26)-E3,2))</f>
        <v>193040.62000000002</v>
      </c>
    </row>
    <row r="28" spans="1:19">
      <c r="A28" s="2259"/>
      <c r="B28" s="50" t="s">
        <v>1954</v>
      </c>
      <c r="C28" s="1259" t="s">
        <v>1955</v>
      </c>
      <c r="D28" s="48">
        <f>ROUND($D$3*E28/$E$3,2)</f>
        <v>200.89</v>
      </c>
      <c r="E28" s="56">
        <f>SUM(F28:G28)</f>
        <v>404.39</v>
      </c>
      <c r="F28" s="64">
        <f>'数据-基础表'!BQ5+'数据-基础表'!BS5</f>
        <v>404.39</v>
      </c>
      <c r="G28" s="65">
        <f>'数据-基础表'!BR5+'数据-基础表'!BT5</f>
        <v>0</v>
      </c>
      <c r="H28" s="1392"/>
      <c r="I28" s="1392"/>
      <c r="J28" s="1392"/>
      <c r="K28" s="1392"/>
      <c r="L28" s="1392"/>
      <c r="M28" s="1392"/>
      <c r="N28" s="1392"/>
      <c r="O28" s="1392"/>
      <c r="P28" s="1392"/>
    </row>
    <row r="29" spans="1:19">
      <c r="A29" s="2259"/>
      <c r="B29" s="50" t="s">
        <v>1954</v>
      </c>
      <c r="C29" s="2263" t="s">
        <v>1956</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9"/>
      <c r="B30" s="50"/>
      <c r="C30" s="2264" t="s">
        <v>1953</v>
      </c>
      <c r="D30" s="1393">
        <f>SUM(D28:D29)</f>
        <v>200.89</v>
      </c>
      <c r="E30" s="1393">
        <f>SUM(E28:E29)</f>
        <v>404.39</v>
      </c>
      <c r="F30" s="1393">
        <f>SUM(F28:F29)</f>
        <v>404.39</v>
      </c>
      <c r="G30" s="1395">
        <f>SUM(G28:G29)</f>
        <v>0</v>
      </c>
      <c r="H30" s="1392"/>
      <c r="I30" s="1392"/>
      <c r="J30" s="1392"/>
      <c r="K30" s="1392"/>
      <c r="L30" s="1392"/>
      <c r="M30" s="1392"/>
      <c r="N30" s="1392"/>
      <c r="O30" s="1392"/>
      <c r="P30" s="1392"/>
    </row>
    <row r="31" spans="1:19" ht="15.75" thickBot="1">
      <c r="A31" s="2265"/>
      <c r="B31" s="2266"/>
      <c r="C31" s="1007" t="s">
        <v>1957</v>
      </c>
      <c r="D31" s="729">
        <f>D27+D30</f>
        <v>95897.74</v>
      </c>
      <c r="E31" s="729">
        <f>E27+E30</f>
        <v>193040.62000000002</v>
      </c>
      <c r="F31" s="730">
        <f>F27+F30</f>
        <v>193040.62000000002</v>
      </c>
      <c r="G31" s="731">
        <f>G27+G30</f>
        <v>0</v>
      </c>
      <c r="H31" s="1392"/>
      <c r="I31" s="1392"/>
      <c r="J31" s="1392"/>
      <c r="K31" s="1392"/>
      <c r="L31" s="1392"/>
      <c r="M31" s="1392"/>
      <c r="N31" s="1392"/>
      <c r="O31" s="1392"/>
      <c r="P31" s="1392"/>
    </row>
    <row r="32" spans="1:19">
      <c r="A32" s="2230"/>
      <c r="B32" s="2230" t="s">
        <v>1958</v>
      </c>
      <c r="C32" s="2230"/>
      <c r="D32" s="2230"/>
      <c r="E32" s="1274">
        <f>SUMIF(C19:C26,"*住宅*",E19:E26)</f>
        <v>0</v>
      </c>
      <c r="F32" s="2230"/>
      <c r="G32" s="2230"/>
      <c r="H32" s="1392"/>
      <c r="I32" s="1392"/>
      <c r="J32" s="1392"/>
      <c r="K32" s="1392"/>
      <c r="L32" s="1392"/>
      <c r="M32" s="1392"/>
      <c r="N32" s="1392"/>
      <c r="O32" s="1392"/>
      <c r="P32" s="1392"/>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O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6"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1959</v>
      </c>
      <c r="B1" s="732"/>
      <c r="C1" s="1581"/>
      <c r="D1" s="2269"/>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2" t="s">
        <v>1960</v>
      </c>
      <c r="B2" s="1266">
        <f>项目基本情况!D3</f>
        <v>43544</v>
      </c>
      <c r="C2" s="2273"/>
      <c r="D2" s="2274"/>
      <c r="E2" s="2273"/>
      <c r="F2" s="2273"/>
      <c r="G2" s="2273"/>
      <c r="H2" s="2273"/>
      <c r="I2" s="2273"/>
      <c r="J2" s="2273"/>
      <c r="K2" s="1427"/>
      <c r="L2" s="1427"/>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1" customFormat="1" ht="15" thickBot="1">
      <c r="A3" s="2029"/>
      <c r="B3" s="2276"/>
      <c r="C3" s="2273"/>
      <c r="D3" s="2274"/>
      <c r="E3" s="2273"/>
      <c r="F3" s="2273"/>
      <c r="G3" s="2273"/>
      <c r="H3" s="2273"/>
      <c r="I3" s="2273"/>
      <c r="J3" s="2273"/>
      <c r="K3" s="1427"/>
      <c r="L3" s="1427"/>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1" customFormat="1" ht="15" thickBot="1">
      <c r="A4" s="68" t="s">
        <v>1961</v>
      </c>
      <c r="B4" s="2277"/>
      <c r="C4" s="2278"/>
      <c r="D4" s="2279"/>
      <c r="E4" s="2278" t="s">
        <v>1962</v>
      </c>
      <c r="F4" s="2278"/>
      <c r="G4" s="2278"/>
      <c r="H4" s="2278"/>
      <c r="I4" s="2278"/>
      <c r="J4" s="2280"/>
      <c r="K4" s="2281"/>
      <c r="L4" s="2282"/>
      <c r="M4" s="2278"/>
      <c r="N4" s="2278" t="s">
        <v>1963</v>
      </c>
      <c r="O4" s="2278"/>
      <c r="P4" s="2278"/>
      <c r="Q4" s="2278"/>
      <c r="R4" s="2278"/>
      <c r="S4" s="2280"/>
      <c r="T4" s="2283" t="str">
        <f>'数据-汇总表'!I17</f>
        <v>按面积比例</v>
      </c>
      <c r="U4" s="2277" t="s">
        <v>1964</v>
      </c>
      <c r="V4" s="2278"/>
      <c r="W4" s="2278"/>
      <c r="X4" s="2278"/>
      <c r="Y4" s="2280"/>
      <c r="Z4" s="2241" t="s">
        <v>1965</v>
      </c>
      <c r="AA4" s="2241"/>
      <c r="AB4" s="2241"/>
      <c r="AC4" s="2241"/>
      <c r="AD4" s="2241"/>
      <c r="AE4" s="2239" t="s">
        <v>1966</v>
      </c>
      <c r="AF4" s="2241"/>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2" customFormat="1" ht="42">
      <c r="A5" s="2285" t="s">
        <v>1967</v>
      </c>
      <c r="B5" s="2286" t="s">
        <v>1968</v>
      </c>
      <c r="C5" s="2287" t="s">
        <v>1969</v>
      </c>
      <c r="D5" s="2288" t="s">
        <v>1970</v>
      </c>
      <c r="E5" s="1268" t="s">
        <v>1971</v>
      </c>
      <c r="F5" s="2289" t="s">
        <v>1972</v>
      </c>
      <c r="G5" s="1268" t="s">
        <v>1973</v>
      </c>
      <c r="H5" s="1268" t="s">
        <v>1974</v>
      </c>
      <c r="I5" s="1268" t="s">
        <v>1975</v>
      </c>
      <c r="J5" s="2290" t="s">
        <v>1976</v>
      </c>
      <c r="K5" s="2291" t="s">
        <v>1977</v>
      </c>
      <c r="L5" s="2292" t="s">
        <v>1978</v>
      </c>
      <c r="M5" s="2293" t="s">
        <v>1979</v>
      </c>
      <c r="N5" s="2294" t="s">
        <v>3300</v>
      </c>
      <c r="O5" s="2292" t="s">
        <v>1980</v>
      </c>
      <c r="P5" s="2295" t="s">
        <v>1981</v>
      </c>
      <c r="Q5" s="69" t="s">
        <v>1982</v>
      </c>
      <c r="R5" s="2296" t="s">
        <v>1983</v>
      </c>
      <c r="S5" s="2297" t="s">
        <v>1984</v>
      </c>
      <c r="T5" s="2298" t="s">
        <v>1985</v>
      </c>
      <c r="U5" s="1267" t="s">
        <v>1986</v>
      </c>
      <c r="V5" s="1268" t="s">
        <v>1987</v>
      </c>
      <c r="W5" s="1268" t="s">
        <v>1988</v>
      </c>
      <c r="X5" s="71"/>
      <c r="Y5" s="70" t="s">
        <v>1989</v>
      </c>
      <c r="Z5" s="2299" t="s">
        <v>1986</v>
      </c>
      <c r="AA5" s="1268" t="s">
        <v>1987</v>
      </c>
      <c r="AB5" s="1268" t="s">
        <v>1988</v>
      </c>
      <c r="AC5" s="71"/>
      <c r="AD5" s="71" t="s">
        <v>1989</v>
      </c>
      <c r="AE5" s="1267" t="s">
        <v>1990</v>
      </c>
      <c r="AF5" s="1268" t="s">
        <v>1991</v>
      </c>
      <c r="AG5" s="70" t="s">
        <v>1992</v>
      </c>
      <c r="AH5" s="1267" t="s">
        <v>1993</v>
      </c>
      <c r="AI5" s="2299" t="s">
        <v>1994</v>
      </c>
      <c r="AJ5" s="2299" t="s">
        <v>1995</v>
      </c>
      <c r="AK5" s="1268" t="s">
        <v>1996</v>
      </c>
      <c r="AL5" s="1268" t="s">
        <v>1997</v>
      </c>
      <c r="AM5" s="70" t="s">
        <v>1998</v>
      </c>
      <c r="AN5" s="2300" t="s">
        <v>1999</v>
      </c>
      <c r="AO5" s="2071" t="s">
        <v>2000</v>
      </c>
      <c r="AP5" s="1249" t="s">
        <v>2001</v>
      </c>
      <c r="AQ5" s="2301" t="s">
        <v>2002</v>
      </c>
      <c r="AR5" s="2301" t="s">
        <v>2003</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1" customFormat="1" ht="14.25">
      <c r="A6" s="2302" t="str">
        <f>'数据-汇总表'!C19</f>
        <v>厂房及宿舍</v>
      </c>
      <c r="B6" s="2303" t="str">
        <f>IF(A6=0,"","经营性")</f>
        <v>经营性</v>
      </c>
      <c r="C6" s="2304" t="s">
        <v>6</v>
      </c>
      <c r="D6" s="1051">
        <f>SUMIF(项目基本情况!D$12:I$12,C6,项目基本情况!D$14:I$14)</f>
        <v>50</v>
      </c>
      <c r="E6" s="1048">
        <f>IF(B6="","",SUMIF(项目基本情况!D$12:I$12,C6,项目基本情况!D$13:I$13))</f>
        <v>51854</v>
      </c>
      <c r="F6" s="72">
        <f>SUMIF(项目基本情况!D$12:I$12,C6,项目基本情况!D$15:I$15)</f>
        <v>22.76</v>
      </c>
      <c r="G6" s="73">
        <f>IF(ISERROR(ROUND(POWER(1+H6,D6-F6)*(POWER(1+H6,F6)-1)/(POWER(1+H6,D6)-1),3)),0,ROUND(POWER(1+H6,D6-F6)*(POWER(1+H6,F6)-1)/(POWER(1+H6,D6)-1),3))</f>
        <v>0.71199999999999997</v>
      </c>
      <c r="H6" s="802">
        <v>4.4999999999999998E-2</v>
      </c>
      <c r="I6" s="802">
        <v>0.05</v>
      </c>
      <c r="J6" s="74">
        <v>0.08</v>
      </c>
      <c r="K6" s="1251">
        <f>SUMIF('数据-汇总表'!C$19:C$33,A6,'数据-汇总表'!E$19:E$33)</f>
        <v>192636.23</v>
      </c>
      <c r="L6" s="803">
        <v>1500</v>
      </c>
      <c r="M6" s="75">
        <f t="shared" ref="M6:M14" si="0">ROUND(K6*L6/10000,0)</f>
        <v>28895</v>
      </c>
      <c r="N6" s="801">
        <v>0.6</v>
      </c>
      <c r="O6" s="75" t="str">
        <f>IF($N$5="成新度","——",ROUND(M6*N6,0))</f>
        <v>——</v>
      </c>
      <c r="P6" s="76" t="str">
        <f>IF($N$5="成新度","——",M6-O6)</f>
        <v>——</v>
      </c>
      <c r="Q6" s="804">
        <v>0.1</v>
      </c>
      <c r="R6" s="77">
        <f ca="1">SUMIF('数据-汇总表'!C$19:C$33,A6,'数据-汇总表'!R$19:R$27)</f>
        <v>95897.74</v>
      </c>
      <c r="S6" s="54">
        <f>IF('数据-汇总表'!$I$17="按面积比例",SUMIF('数据-汇总表'!C$19:C$33,A6,'数据-汇总表'!K$19:K$33),SUMIF('数据-汇总表'!C$19:C$33,A6,'数据-汇总表'!N$19:N$33))</f>
        <v>404.39</v>
      </c>
      <c r="T6" s="1443">
        <f>ROUND($L$14*S6/10000,0)</f>
        <v>61</v>
      </c>
      <c r="U6" s="78">
        <v>27</v>
      </c>
      <c r="V6" s="79">
        <v>0.03</v>
      </c>
      <c r="W6" s="79">
        <v>0.1</v>
      </c>
      <c r="X6" s="1261"/>
      <c r="Y6" s="807">
        <f t="shared" ref="Y6" si="1">N6</f>
        <v>0.6</v>
      </c>
      <c r="Z6" s="81"/>
      <c r="AA6" s="74"/>
      <c r="AB6" s="74"/>
      <c r="AC6" s="1261"/>
      <c r="AD6" s="82"/>
      <c r="AE6" s="1262">
        <f ca="1">IF(AN6="",0,SUMIF(INDIRECT("'"&amp;AN6&amp;"'"&amp;"!E:E"),$AE$5,INDIRECT("'"&amp;AN6&amp;"'"&amp;"!F:F")))</f>
        <v>22.76</v>
      </c>
      <c r="AF6" s="1804"/>
      <c r="AG6" s="147">
        <f>IF(AF6="",0,AE6-AF6)</f>
        <v>0</v>
      </c>
      <c r="AH6" s="83"/>
      <c r="AI6" s="85">
        <v>12</v>
      </c>
      <c r="AJ6" s="86"/>
      <c r="AK6" s="87">
        <v>1.4999999999999999E-2</v>
      </c>
      <c r="AL6" s="88">
        <v>1.5E-3</v>
      </c>
      <c r="AM6" s="89">
        <v>0.01</v>
      </c>
      <c r="AN6" s="2305" t="s">
        <v>3322</v>
      </c>
      <c r="AO6" s="55">
        <f ca="1">SUMIF(INDIRECT("'"&amp;AN6&amp;"'"&amp;"!A:A"),"总价",INDIRECT("'"&amp;AN6&amp;"'"&amp;"!B:B"))</f>
        <v>68752</v>
      </c>
      <c r="AP6" s="2306">
        <f>IF(C6="住宅",K6*L6,0)</f>
        <v>0</v>
      </c>
      <c r="AQ6" s="55">
        <f>ROUND($L$14*$N$14*S6/10000,0)</f>
        <v>36</v>
      </c>
      <c r="AR6" s="55">
        <f>ROUND($L$14*(1-$N$14)*S6/10000,0)</f>
        <v>24</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1" customFormat="1" ht="14.25">
      <c r="A7" s="2302">
        <f>'数据-汇总表'!C20</f>
        <v>0</v>
      </c>
      <c r="B7" s="2303" t="str">
        <f t="shared" ref="B7:B13" si="2">IF(A7=0,"","经营性")</f>
        <v/>
      </c>
      <c r="C7" s="2304"/>
      <c r="D7" s="1051">
        <f>SUMIF(项目基本情况!D$12:I$12,C7,项目基本情况!D$14:I$14)</f>
        <v>0</v>
      </c>
      <c r="E7" s="1048" t="str">
        <f>IF(B7="","",SUMIF(项目基本情况!D$12:I$12,C7,项目基本情况!D$13:I$13))</f>
        <v/>
      </c>
      <c r="F7" s="72">
        <f>SUMIF(项目基本情况!D$12:I$12,C7,项目基本情况!D$15:I$15)</f>
        <v>0</v>
      </c>
      <c r="G7" s="73">
        <f t="shared" ref="G7:G11" si="3">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4">IF($N$5="成新度","——",ROUND(M7*N7,0))</f>
        <v>——</v>
      </c>
      <c r="P7" s="76" t="str">
        <f t="shared" ref="P7:P14" si="5">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6">ROUND($L$14*S7/10000,0)</f>
        <v>0</v>
      </c>
      <c r="U7" s="78"/>
      <c r="V7" s="79"/>
      <c r="W7" s="79"/>
      <c r="X7" s="1261"/>
      <c r="Y7" s="807"/>
      <c r="Z7" s="81"/>
      <c r="AA7" s="74"/>
      <c r="AB7" s="74"/>
      <c r="AC7" s="1261"/>
      <c r="AD7" s="82"/>
      <c r="AE7" s="1262">
        <f t="shared" ref="AE7:AE13" ca="1" si="7">IF(AN7="",0,SUMIF(INDIRECT("'"&amp;AN7&amp;"'"&amp;"!E:E"),$AE$5,INDIRECT("'"&amp;AN7&amp;"'"&amp;"!F:F")))</f>
        <v>0</v>
      </c>
      <c r="AF7" s="1804"/>
      <c r="AG7" s="147">
        <f t="shared" ref="AG7:AG13" si="8">IF(AF7="",0,AE7-AF7)</f>
        <v>0</v>
      </c>
      <c r="AH7" s="83"/>
      <c r="AI7" s="85"/>
      <c r="AJ7" s="86"/>
      <c r="AK7" s="87"/>
      <c r="AL7" s="88"/>
      <c r="AM7" s="89"/>
      <c r="AN7" s="2305"/>
      <c r="AO7" s="55" t="e">
        <f t="shared" ref="AO7:AO13" ca="1" si="9">SUMIF(INDIRECT("'"&amp;AN7&amp;"'"&amp;"!A:A"),"总价",INDIRECT("'"&amp;AN7&amp;"'"&amp;"!B:B"))</f>
        <v>#REF!</v>
      </c>
      <c r="AP7" s="2306">
        <f t="shared" ref="AP7:AP13" si="10">IF(C7="住宅",K7*L7,0)</f>
        <v>0</v>
      </c>
      <c r="AQ7" s="55">
        <f t="shared" ref="AQ7:AQ13" si="11">ROUND($L$14*$N$14*S7/10000,0)</f>
        <v>0</v>
      </c>
      <c r="AR7" s="55">
        <f t="shared" ref="AR7:AR13" si="12">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1" customFormat="1" ht="14.25">
      <c r="A8" s="2302">
        <f>'数据-汇总表'!C21</f>
        <v>0</v>
      </c>
      <c r="B8" s="2303" t="str">
        <f t="shared" si="2"/>
        <v/>
      </c>
      <c r="C8" s="2304"/>
      <c r="D8" s="1051">
        <f>SUMIF(项目基本情况!D$12:I$12,C8,项目基本情况!D$14:I$14)</f>
        <v>0</v>
      </c>
      <c r="E8" s="1048" t="str">
        <f>IF(B8="","",SUMIF(项目基本情况!D$12:I$12,C8,项目基本情况!D$13:I$13))</f>
        <v/>
      </c>
      <c r="F8" s="72">
        <f>SUMIF(项目基本情况!D$12:I$12,C8,项目基本情况!D$15:I$15)</f>
        <v>0</v>
      </c>
      <c r="G8" s="73">
        <f t="shared" si="3"/>
        <v>0</v>
      </c>
      <c r="H8" s="802"/>
      <c r="I8" s="802"/>
      <c r="J8" s="74"/>
      <c r="K8" s="1251">
        <f>SUMIF('数据-汇总表'!C$19:C$33,A8,'数据-汇总表'!E$19:E$33)</f>
        <v>0</v>
      </c>
      <c r="L8" s="803"/>
      <c r="M8" s="75">
        <f>ROUND(K8*L8/10000,0)</f>
        <v>0</v>
      </c>
      <c r="N8" s="801"/>
      <c r="O8" s="75" t="str">
        <f t="shared" si="4"/>
        <v>——</v>
      </c>
      <c r="P8" s="76" t="str">
        <f t="shared" si="5"/>
        <v>——</v>
      </c>
      <c r="Q8" s="804"/>
      <c r="R8" s="77">
        <f ca="1">SUMIF('数据-汇总表'!C$19:C$33,A8,'数据-汇总表'!R$19:R$27)</f>
        <v>0</v>
      </c>
      <c r="S8" s="54">
        <f>IF('数据-汇总表'!$I$17="按面积比例",SUMIF('数据-汇总表'!C$19:C$33,A8,'数据-汇总表'!K$19:K$33),SUMIF('数据-汇总表'!C$19:C$33,A8,'数据-汇总表'!N$19:N$33))</f>
        <v>0</v>
      </c>
      <c r="T8" s="1443">
        <f t="shared" si="6"/>
        <v>0</v>
      </c>
      <c r="U8" s="805"/>
      <c r="V8" s="806"/>
      <c r="W8" s="806"/>
      <c r="X8" s="1261"/>
      <c r="Y8" s="807"/>
      <c r="Z8" s="81"/>
      <c r="AA8" s="74"/>
      <c r="AB8" s="74"/>
      <c r="AC8" s="1261"/>
      <c r="AD8" s="82"/>
      <c r="AE8" s="1262">
        <f t="shared" ca="1" si="7"/>
        <v>0</v>
      </c>
      <c r="AF8" s="1804"/>
      <c r="AG8" s="147">
        <f t="shared" si="8"/>
        <v>0</v>
      </c>
      <c r="AH8" s="808"/>
      <c r="AI8" s="85"/>
      <c r="AJ8" s="86"/>
      <c r="AK8" s="87"/>
      <c r="AL8" s="88"/>
      <c r="AM8" s="89"/>
      <c r="AN8" s="2305"/>
      <c r="AO8" s="55" t="e">
        <f t="shared" ca="1" si="9"/>
        <v>#REF!</v>
      </c>
      <c r="AP8" s="2306">
        <f t="shared" si="10"/>
        <v>0</v>
      </c>
      <c r="AQ8" s="55">
        <f t="shared" si="11"/>
        <v>0</v>
      </c>
      <c r="AR8" s="55">
        <f t="shared" si="12"/>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1" customFormat="1" ht="14.25">
      <c r="A9" s="2302">
        <f>'数据-汇总表'!C22</f>
        <v>0</v>
      </c>
      <c r="B9" s="2303" t="str">
        <f t="shared" si="2"/>
        <v/>
      </c>
      <c r="C9" s="2304"/>
      <c r="D9" s="1051">
        <f>SUMIF(项目基本情况!D$12:I$12,C9,项目基本情况!D$14:I$14)</f>
        <v>0</v>
      </c>
      <c r="E9" s="1048" t="str">
        <f>IF(B9="","",SUMIF(项目基本情况!D$12:I$12,C9,项目基本情况!D$13:I$13))</f>
        <v/>
      </c>
      <c r="F9" s="72">
        <f>SUMIF(项目基本情况!D$12:I$12,C9,项目基本情况!D$15:I$15)</f>
        <v>0</v>
      </c>
      <c r="G9" s="73">
        <f t="shared" si="3"/>
        <v>0</v>
      </c>
      <c r="H9" s="74"/>
      <c r="I9" s="74"/>
      <c r="J9" s="74"/>
      <c r="K9" s="1251">
        <f>SUMIF('数据-汇总表'!C$19:C$33,A9,'数据-汇总表'!E$19:E$33)</f>
        <v>0</v>
      </c>
      <c r="L9" s="803"/>
      <c r="M9" s="75">
        <f t="shared" si="0"/>
        <v>0</v>
      </c>
      <c r="N9" s="801"/>
      <c r="O9" s="75" t="str">
        <f t="shared" si="4"/>
        <v>——</v>
      </c>
      <c r="P9" s="76" t="str">
        <f t="shared" si="5"/>
        <v>——</v>
      </c>
      <c r="Q9" s="90"/>
      <c r="R9" s="77">
        <f ca="1">SUMIF('数据-汇总表'!C$19:C$33,A9,'数据-汇总表'!R$19:R$27)</f>
        <v>0</v>
      </c>
      <c r="S9" s="54">
        <f>IF('数据-汇总表'!$I$17="按面积比例",SUMIF('数据-汇总表'!C$19:C$33,A9,'数据-汇总表'!K$19:K$33),SUMIF('数据-汇总表'!C$19:C$33,A9,'数据-汇总表'!N$19:N$33))</f>
        <v>0</v>
      </c>
      <c r="T9" s="1443">
        <f t="shared" si="6"/>
        <v>0</v>
      </c>
      <c r="U9" s="78"/>
      <c r="V9" s="79"/>
      <c r="W9" s="79"/>
      <c r="X9" s="1261"/>
      <c r="Y9" s="80"/>
      <c r="Z9" s="81"/>
      <c r="AA9" s="74"/>
      <c r="AB9" s="74"/>
      <c r="AC9" s="1261"/>
      <c r="AD9" s="82"/>
      <c r="AE9" s="1262">
        <f t="shared" ca="1" si="7"/>
        <v>0</v>
      </c>
      <c r="AF9" s="1804"/>
      <c r="AG9" s="147">
        <f t="shared" si="8"/>
        <v>0</v>
      </c>
      <c r="AH9" s="83"/>
      <c r="AI9" s="85"/>
      <c r="AJ9" s="86"/>
      <c r="AK9" s="87"/>
      <c r="AL9" s="88"/>
      <c r="AM9" s="89"/>
      <c r="AN9" s="2305"/>
      <c r="AO9" s="55" t="e">
        <f t="shared" ca="1" si="9"/>
        <v>#REF!</v>
      </c>
      <c r="AP9" s="2306">
        <f t="shared" si="10"/>
        <v>0</v>
      </c>
      <c r="AQ9" s="55">
        <f t="shared" si="11"/>
        <v>0</v>
      </c>
      <c r="AR9" s="55">
        <f t="shared" si="12"/>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1" customFormat="1" ht="14.25">
      <c r="A10" s="2302">
        <f>'数据-汇总表'!C23</f>
        <v>0</v>
      </c>
      <c r="B10" s="2303" t="str">
        <f t="shared" si="2"/>
        <v/>
      </c>
      <c r="C10" s="2304"/>
      <c r="D10" s="1051">
        <f>SUMIF(项目基本情况!D$12:I$12,C10,项目基本情况!D$14:I$14)</f>
        <v>0</v>
      </c>
      <c r="E10" s="1048" t="str">
        <f>IF(B10="","",SUMIF(项目基本情况!D$12:I$12,C10,项目基本情况!D$13:I$13))</f>
        <v/>
      </c>
      <c r="F10" s="72">
        <f>SUMIF(项目基本情况!D$12:I$12,C10,项目基本情况!D$15:I$15)</f>
        <v>0</v>
      </c>
      <c r="G10" s="73">
        <f t="shared" si="3"/>
        <v>0</v>
      </c>
      <c r="H10" s="74"/>
      <c r="I10" s="74"/>
      <c r="J10" s="74"/>
      <c r="K10" s="1251">
        <f>SUMIF('数据-汇总表'!C$19:C$33,A10,'数据-汇总表'!E$19:E$33)</f>
        <v>0</v>
      </c>
      <c r="L10" s="803"/>
      <c r="M10" s="75">
        <f t="shared" si="0"/>
        <v>0</v>
      </c>
      <c r="N10" s="801"/>
      <c r="O10" s="75" t="str">
        <f t="shared" si="4"/>
        <v>——</v>
      </c>
      <c r="P10" s="76" t="str">
        <f t="shared" si="5"/>
        <v>——</v>
      </c>
      <c r="Q10" s="90"/>
      <c r="R10" s="77">
        <f ca="1">SUMIF('数据-汇总表'!C$19:C$33,A10,'数据-汇总表'!R$19:R$27)</f>
        <v>0</v>
      </c>
      <c r="S10" s="54">
        <f>IF('数据-汇总表'!$I$17="按面积比例",SUMIF('数据-汇总表'!C$19:C$33,A10,'数据-汇总表'!K$19:K$33),SUMIF('数据-汇总表'!C$19:C$33,A10,'数据-汇总表'!N$19:N$33))</f>
        <v>0</v>
      </c>
      <c r="T10" s="1443">
        <f t="shared" si="6"/>
        <v>0</v>
      </c>
      <c r="U10" s="78"/>
      <c r="V10" s="79"/>
      <c r="W10" s="79"/>
      <c r="X10" s="1261"/>
      <c r="Y10" s="80"/>
      <c r="Z10" s="81"/>
      <c r="AA10" s="74"/>
      <c r="AB10" s="74"/>
      <c r="AC10" s="1261"/>
      <c r="AD10" s="82"/>
      <c r="AE10" s="1262">
        <f t="shared" ca="1" si="7"/>
        <v>0</v>
      </c>
      <c r="AF10" s="1804"/>
      <c r="AG10" s="147">
        <f t="shared" si="8"/>
        <v>0</v>
      </c>
      <c r="AH10" s="83"/>
      <c r="AI10" s="85"/>
      <c r="AJ10" s="86"/>
      <c r="AK10" s="87"/>
      <c r="AL10" s="88"/>
      <c r="AM10" s="89"/>
      <c r="AN10" s="2305"/>
      <c r="AO10" s="55" t="e">
        <f t="shared" ca="1" si="9"/>
        <v>#REF!</v>
      </c>
      <c r="AP10" s="2306">
        <f t="shared" si="10"/>
        <v>0</v>
      </c>
      <c r="AQ10" s="55">
        <f t="shared" si="11"/>
        <v>0</v>
      </c>
      <c r="AR10" s="55">
        <f t="shared" si="12"/>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1" customFormat="1" ht="14.25">
      <c r="A11" s="2302">
        <f>'数据-汇总表'!C24</f>
        <v>0</v>
      </c>
      <c r="B11" s="2303" t="str">
        <f t="shared" si="2"/>
        <v/>
      </c>
      <c r="C11" s="2304"/>
      <c r="D11" s="1051">
        <f>SUMIF(项目基本情况!D$12:I$12,C11,项目基本情况!D$14:I$14)</f>
        <v>0</v>
      </c>
      <c r="E11" s="1048" t="str">
        <f>IF(B11="","",SUMIF(项目基本情况!D$12:I$12,C11,项目基本情况!D$13:I$13))</f>
        <v/>
      </c>
      <c r="F11" s="72">
        <f>SUMIF(项目基本情况!D$12:I$12,C11,项目基本情况!D$15:I$15)</f>
        <v>0</v>
      </c>
      <c r="G11" s="73">
        <f t="shared" si="3"/>
        <v>0</v>
      </c>
      <c r="H11" s="74"/>
      <c r="I11" s="74"/>
      <c r="J11" s="74"/>
      <c r="K11" s="1251">
        <f>SUMIF('数据-汇总表'!C$19:C$33,A11,'数据-汇总表'!E$19:E$33)</f>
        <v>0</v>
      </c>
      <c r="L11" s="91"/>
      <c r="M11" s="75">
        <f t="shared" si="0"/>
        <v>0</v>
      </c>
      <c r="N11" s="92"/>
      <c r="O11" s="75" t="str">
        <f t="shared" si="4"/>
        <v>——</v>
      </c>
      <c r="P11" s="76" t="str">
        <f t="shared" si="5"/>
        <v>——</v>
      </c>
      <c r="Q11" s="90"/>
      <c r="R11" s="77">
        <f ca="1">SUMIF('数据-汇总表'!C$19:C$33,A11,'数据-汇总表'!R$19:R$27)</f>
        <v>0</v>
      </c>
      <c r="S11" s="54">
        <f>IF('数据-汇总表'!$I$17="按面积比例",SUMIF('数据-汇总表'!C$19:C$33,A11,'数据-汇总表'!K$19:K$33),SUMIF('数据-汇总表'!C$19:C$33,A11,'数据-汇总表'!N$19:N$33))</f>
        <v>0</v>
      </c>
      <c r="T11" s="1443">
        <f t="shared" si="6"/>
        <v>0</v>
      </c>
      <c r="U11" s="83"/>
      <c r="V11" s="74"/>
      <c r="W11" s="74"/>
      <c r="X11" s="1261"/>
      <c r="Y11" s="80"/>
      <c r="Z11" s="93"/>
      <c r="AA11" s="74"/>
      <c r="AB11" s="74"/>
      <c r="AC11" s="1261"/>
      <c r="AD11" s="82"/>
      <c r="AE11" s="1262">
        <f t="shared" ca="1" si="7"/>
        <v>0</v>
      </c>
      <c r="AF11" s="1804"/>
      <c r="AG11" s="147">
        <f t="shared" si="8"/>
        <v>0</v>
      </c>
      <c r="AH11" s="83"/>
      <c r="AI11" s="85"/>
      <c r="AJ11" s="86"/>
      <c r="AK11" s="94"/>
      <c r="AL11" s="95"/>
      <c r="AM11" s="96"/>
      <c r="AN11" s="2305"/>
      <c r="AO11" s="55" t="e">
        <f t="shared" ca="1" si="9"/>
        <v>#REF!</v>
      </c>
      <c r="AP11" s="2306">
        <f t="shared" si="10"/>
        <v>0</v>
      </c>
      <c r="AQ11" s="55">
        <f t="shared" si="11"/>
        <v>0</v>
      </c>
      <c r="AR11" s="55">
        <f t="shared" si="12"/>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1" customFormat="1" ht="14.25">
      <c r="A12" s="2302">
        <f>'数据-汇总表'!C25</f>
        <v>0</v>
      </c>
      <c r="B12" s="2303" t="str">
        <f t="shared" si="2"/>
        <v/>
      </c>
      <c r="C12" s="2304"/>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4"/>
        <v>——</v>
      </c>
      <c r="P12" s="76" t="str">
        <f t="shared" si="5"/>
        <v>——</v>
      </c>
      <c r="Q12" s="90"/>
      <c r="R12" s="77">
        <f ca="1">SUMIF('数据-汇总表'!C$19:C$33,A12,'数据-汇总表'!R$19:R$27)</f>
        <v>0</v>
      </c>
      <c r="S12" s="54">
        <f>IF('数据-汇总表'!$I$17="按面积比例",SUMIF('数据-汇总表'!C$19:C$33,A12,'数据-汇总表'!K$19:K$33),SUMIF('数据-汇总表'!C$19:C$33,A12,'数据-汇总表'!N$19:N$33))</f>
        <v>0</v>
      </c>
      <c r="T12" s="1443">
        <f t="shared" si="6"/>
        <v>0</v>
      </c>
      <c r="U12" s="83"/>
      <c r="V12" s="74"/>
      <c r="W12" s="74"/>
      <c r="X12" s="1261"/>
      <c r="Y12" s="80"/>
      <c r="Z12" s="93"/>
      <c r="AA12" s="74"/>
      <c r="AB12" s="74"/>
      <c r="AC12" s="1261"/>
      <c r="AD12" s="82"/>
      <c r="AE12" s="1262">
        <f t="shared" ca="1" si="7"/>
        <v>0</v>
      </c>
      <c r="AF12" s="1804"/>
      <c r="AG12" s="147">
        <f t="shared" si="8"/>
        <v>0</v>
      </c>
      <c r="AH12" s="83"/>
      <c r="AI12" s="85"/>
      <c r="AJ12" s="86"/>
      <c r="AK12" s="94"/>
      <c r="AL12" s="95"/>
      <c r="AM12" s="96"/>
      <c r="AN12" s="2305"/>
      <c r="AO12" s="55" t="e">
        <f t="shared" ca="1" si="9"/>
        <v>#REF!</v>
      </c>
      <c r="AP12" s="2306">
        <f t="shared" si="10"/>
        <v>0</v>
      </c>
      <c r="AQ12" s="55">
        <f t="shared" si="11"/>
        <v>0</v>
      </c>
      <c r="AR12" s="55">
        <f t="shared" si="12"/>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1" customFormat="1" ht="14.25">
      <c r="A13" s="2302">
        <f>'数据-汇总表'!C26</f>
        <v>0</v>
      </c>
      <c r="B13" s="2303" t="str">
        <f t="shared" si="2"/>
        <v/>
      </c>
      <c r="C13" s="2304"/>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4"/>
        <v>——</v>
      </c>
      <c r="P13" s="76" t="str">
        <f t="shared" si="5"/>
        <v>——</v>
      </c>
      <c r="Q13" s="90"/>
      <c r="R13" s="77">
        <f ca="1">SUMIF('数据-汇总表'!C$19:C$33,A13,'数据-汇总表'!R$19:R$27)</f>
        <v>0</v>
      </c>
      <c r="S13" s="54">
        <f>IF('数据-汇总表'!$I$17="按面积比例",SUMIF('数据-汇总表'!C$19:C$33,A13,'数据-汇总表'!K$19:K$33),SUMIF('数据-汇总表'!C$19:C$33,A13,'数据-汇总表'!N$19:N$33))</f>
        <v>0</v>
      </c>
      <c r="T13" s="1443">
        <f t="shared" si="6"/>
        <v>0</v>
      </c>
      <c r="U13" s="78"/>
      <c r="V13" s="79"/>
      <c r="W13" s="79"/>
      <c r="X13" s="1261"/>
      <c r="Y13" s="80"/>
      <c r="Z13" s="81"/>
      <c r="AA13" s="74"/>
      <c r="AB13" s="74"/>
      <c r="AC13" s="1261"/>
      <c r="AD13" s="82"/>
      <c r="AE13" s="1262">
        <f t="shared" ca="1" si="7"/>
        <v>0</v>
      </c>
      <c r="AF13" s="1804"/>
      <c r="AG13" s="147">
        <f t="shared" si="8"/>
        <v>0</v>
      </c>
      <c r="AH13" s="83"/>
      <c r="AI13" s="85"/>
      <c r="AJ13" s="86"/>
      <c r="AK13" s="87"/>
      <c r="AL13" s="88"/>
      <c r="AM13" s="89"/>
      <c r="AN13" s="2305"/>
      <c r="AO13" s="55" t="e">
        <f t="shared" ca="1" si="9"/>
        <v>#REF!</v>
      </c>
      <c r="AP13" s="2306">
        <f t="shared" si="10"/>
        <v>0</v>
      </c>
      <c r="AQ13" s="55">
        <f t="shared" si="11"/>
        <v>0</v>
      </c>
      <c r="AR13" s="55">
        <f t="shared" si="12"/>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1" customFormat="1" ht="14.25">
      <c r="A14" s="2307" t="s">
        <v>2004</v>
      </c>
      <c r="B14" s="2303" t="s">
        <v>2005</v>
      </c>
      <c r="C14" s="2308" t="s">
        <v>2004</v>
      </c>
      <c r="D14" s="1051"/>
      <c r="E14" s="1048"/>
      <c r="F14" s="72"/>
      <c r="G14" s="73"/>
      <c r="H14" s="1250"/>
      <c r="I14" s="1250"/>
      <c r="J14" s="1250"/>
      <c r="K14" s="1251">
        <f>SUMIF('数据-汇总表'!C$19:C$33,A14,'数据-汇总表'!E$19:E$33)</f>
        <v>404.39</v>
      </c>
      <c r="L14" s="91">
        <f>L6</f>
        <v>1500</v>
      </c>
      <c r="M14" s="75">
        <f t="shared" si="0"/>
        <v>61</v>
      </c>
      <c r="N14" s="92">
        <f>N6</f>
        <v>0.6</v>
      </c>
      <c r="O14" s="75" t="str">
        <f t="shared" si="4"/>
        <v>——</v>
      </c>
      <c r="P14" s="76" t="str">
        <f t="shared" si="5"/>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1" customFormat="1" ht="27">
      <c r="A15" s="2307" t="s">
        <v>2006</v>
      </c>
      <c r="B15" s="2303" t="s">
        <v>2005</v>
      </c>
      <c r="C15" s="2308" t="s">
        <v>2007</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1" customFormat="1" ht="15.75" thickBot="1">
      <c r="A16" s="2309" t="s">
        <v>2008</v>
      </c>
      <c r="B16" s="97"/>
      <c r="C16" s="1005"/>
      <c r="D16" s="2310"/>
      <c r="E16" s="97"/>
      <c r="F16" s="97"/>
      <c r="G16" s="98">
        <f>ROUND(SUMPRODUCT(G6:G13,K6:K13)/SUMPRODUCT((G6:G13&gt;0)*(K6:K13)),3)</f>
        <v>0.71199999999999997</v>
      </c>
      <c r="H16" s="99">
        <f>ROUND(SUMPRODUCT(H6:H13,K6:K13)/SUMPRODUCT((H6:H13&gt;0)*(K6:K13)),3)</f>
        <v>4.4999999999999998E-2</v>
      </c>
      <c r="I16" s="100"/>
      <c r="J16" s="100"/>
      <c r="K16" s="101">
        <f>SUM(K6:K15)</f>
        <v>193040.62000000002</v>
      </c>
      <c r="L16" s="102">
        <f>ROUND(M16*10000/SUM(K6:K14),0)</f>
        <v>1500</v>
      </c>
      <c r="M16" s="102">
        <f>SUM(M6:M14)</f>
        <v>28956</v>
      </c>
      <c r="N16" s="103">
        <f>ROUND(SUMPRODUCT(M6:M14,N6:N14)/M16,3)</f>
        <v>0.6</v>
      </c>
      <c r="O16" s="102">
        <f>SUM(O6:O14)</f>
        <v>0</v>
      </c>
      <c r="P16" s="102">
        <f>SUM(P6:P14)</f>
        <v>0</v>
      </c>
      <c r="Q16" s="104">
        <f>ROUND(SUMPRODUCT(Q6:Q13,K6:K13)/SUMPRODUCT((Q6:Q13&gt;0)*(K6:K13)),2)</f>
        <v>0.1</v>
      </c>
      <c r="R16" s="1255">
        <f ca="1">SUM(R6:R13)</f>
        <v>95897.74</v>
      </c>
      <c r="S16" s="105">
        <f>SUM(S6:S13)</f>
        <v>404.39</v>
      </c>
      <c r="T16" s="106">
        <f>IF(SUMIF(T6:T13,"&lt;9E307")=M14,SUMIF(T6:T13,"&lt;9E307"),"有误，请检查")</f>
        <v>61</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2"/>
      <c r="C17" s="1581"/>
      <c r="D17" s="2269"/>
      <c r="E17" s="2269"/>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2009</v>
      </c>
      <c r="B18" s="2276"/>
      <c r="C18" s="2273"/>
      <c r="D18" s="2274"/>
      <c r="E18" s="2273"/>
      <c r="F18" s="2273"/>
      <c r="G18" s="2273"/>
      <c r="H18" s="2273"/>
      <c r="I18" s="2273"/>
      <c r="J18" s="2273"/>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2" t="s">
        <v>2010</v>
      </c>
      <c r="B19" s="112">
        <v>0</v>
      </c>
      <c r="C19" s="2273" t="s">
        <v>2011</v>
      </c>
      <c r="D19" s="2274"/>
      <c r="E19" s="2273"/>
      <c r="F19" s="2273"/>
      <c r="G19" s="2273"/>
      <c r="H19" s="2273"/>
      <c r="I19" s="2273"/>
      <c r="J19" s="2273"/>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3" t="s">
        <v>2012</v>
      </c>
      <c r="B20" s="113">
        <v>1.5</v>
      </c>
      <c r="C20" s="2273" t="s">
        <v>2013</v>
      </c>
      <c r="D20" s="2274"/>
      <c r="E20" s="2273"/>
      <c r="F20" s="2273"/>
      <c r="G20" s="2273"/>
      <c r="H20" s="2273"/>
      <c r="I20" s="2273"/>
      <c r="J20" s="2273"/>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4" t="s">
        <v>2014</v>
      </c>
      <c r="B21" s="113">
        <v>1.5</v>
      </c>
      <c r="C21" s="2273"/>
      <c r="D21" s="2274"/>
      <c r="E21" s="2273"/>
      <c r="F21" s="2273"/>
      <c r="G21" s="2273"/>
      <c r="H21" s="2273"/>
      <c r="I21" s="2273"/>
      <c r="J21" s="2273"/>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3" t="s">
        <v>2015</v>
      </c>
      <c r="B22" s="114">
        <f>B19+B20</f>
        <v>1.5</v>
      </c>
      <c r="C22" s="2273"/>
      <c r="D22" s="2274"/>
      <c r="E22" s="2273"/>
      <c r="F22" s="2273"/>
      <c r="G22" s="2273"/>
      <c r="H22" s="2273"/>
      <c r="I22" s="2273"/>
      <c r="J22" s="2273"/>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4" t="s">
        <v>2016</v>
      </c>
      <c r="B23" s="114">
        <f>B19+B21</f>
        <v>1.5</v>
      </c>
      <c r="C23" s="2273"/>
      <c r="D23" s="2274"/>
      <c r="E23" s="2273"/>
      <c r="F23" s="2273"/>
      <c r="G23" s="2273"/>
      <c r="H23" s="2273"/>
      <c r="I23" s="2273"/>
      <c r="J23" s="2273"/>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5" t="s">
        <v>2017</v>
      </c>
      <c r="B24" s="115">
        <f>B20-B21</f>
        <v>0</v>
      </c>
      <c r="C24" s="2273"/>
      <c r="D24" s="2274"/>
      <c r="E24" s="2273"/>
      <c r="F24" s="2273"/>
      <c r="G24" s="2273"/>
      <c r="H24" s="2273"/>
      <c r="I24" s="2273"/>
      <c r="J24" s="2273"/>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6"/>
      <c r="C25" s="2273"/>
      <c r="D25" s="2274"/>
      <c r="E25" s="2273"/>
      <c r="F25" s="2273"/>
      <c r="G25" s="2273"/>
      <c r="H25" s="2273"/>
      <c r="I25" s="2273"/>
      <c r="J25" s="2273"/>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2" t="s">
        <v>2018</v>
      </c>
      <c r="B26" s="2316" t="s">
        <v>2019</v>
      </c>
      <c r="C26" s="2317" t="s">
        <v>2020</v>
      </c>
      <c r="D26" s="2274"/>
      <c r="E26" s="2273"/>
      <c r="F26" s="2273"/>
      <c r="G26" s="2273"/>
      <c r="H26" s="2273"/>
      <c r="I26" s="2273"/>
      <c r="J26" s="2273"/>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0" customFormat="1" ht="27.75">
      <c r="A27" s="2318" t="s">
        <v>2021</v>
      </c>
      <c r="B27" s="116">
        <v>165</v>
      </c>
      <c r="C27" s="1764" t="s">
        <v>2022</v>
      </c>
      <c r="D27" s="2319"/>
      <c r="E27" s="1427"/>
      <c r="F27" s="1427"/>
      <c r="G27" s="2273"/>
      <c r="H27" s="2273"/>
      <c r="I27" s="2273"/>
      <c r="J27" s="2273"/>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0" customFormat="1" ht="27.75">
      <c r="A28" s="2321" t="s">
        <v>2023</v>
      </c>
      <c r="B28" s="119">
        <v>215</v>
      </c>
      <c r="C28" s="2322"/>
      <c r="D28" s="2319"/>
      <c r="E28" s="1427"/>
      <c r="F28" s="1427"/>
      <c r="G28" s="2273"/>
      <c r="H28" s="2273"/>
      <c r="I28" s="2273"/>
      <c r="J28" s="2273"/>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0" customFormat="1" ht="28.5" thickBot="1">
      <c r="A29" s="2323" t="s">
        <v>2024</v>
      </c>
      <c r="B29" s="121">
        <f>ROUND(B28*K16/10000,0)</f>
        <v>4150</v>
      </c>
      <c r="C29" s="1764" t="s">
        <v>2025</v>
      </c>
      <c r="D29" s="2319"/>
      <c r="E29" s="1427"/>
      <c r="F29" s="1427"/>
      <c r="G29" s="2273"/>
      <c r="H29" s="2273"/>
      <c r="I29" s="2273"/>
      <c r="J29" s="2273"/>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0" customFormat="1" ht="27">
      <c r="A30" s="2324" t="s">
        <v>2026</v>
      </c>
      <c r="B30" s="724">
        <v>200</v>
      </c>
      <c r="C30" s="2322"/>
      <c r="D30" s="2319"/>
      <c r="E30" s="1427"/>
      <c r="F30" s="1427"/>
      <c r="G30" s="2273"/>
      <c r="H30" s="2273"/>
      <c r="I30" s="2273"/>
      <c r="J30" s="2273"/>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0" customFormat="1" ht="27">
      <c r="A31" s="2321" t="s">
        <v>2027</v>
      </c>
      <c r="B31" s="120">
        <f>B30-B32</f>
        <v>200</v>
      </c>
      <c r="C31" s="1764"/>
      <c r="D31" s="2319"/>
      <c r="E31" s="1427"/>
      <c r="F31" s="1427"/>
      <c r="G31" s="2273"/>
      <c r="H31" s="2273"/>
      <c r="I31" s="2273"/>
      <c r="J31" s="2273"/>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0" customFormat="1" ht="27.75" thickBot="1">
      <c r="A32" s="2325" t="s">
        <v>2028</v>
      </c>
      <c r="B32" s="725">
        <v>0</v>
      </c>
      <c r="C32" s="2322"/>
      <c r="D32" s="2274"/>
      <c r="E32" s="2273"/>
      <c r="F32" s="2273"/>
      <c r="G32" s="2273"/>
      <c r="H32" s="2273"/>
      <c r="I32" s="2273"/>
      <c r="J32" s="2273"/>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0" customFormat="1" ht="14.25">
      <c r="A33" s="2318" t="s">
        <v>2029</v>
      </c>
      <c r="B33" s="726">
        <v>0.03</v>
      </c>
      <c r="C33" s="1763" t="s">
        <v>2030</v>
      </c>
      <c r="D33" s="2274"/>
      <c r="E33" s="2273"/>
      <c r="F33" s="2273"/>
      <c r="G33" s="2273"/>
      <c r="H33" s="2273"/>
      <c r="I33" s="2273"/>
      <c r="J33" s="2273"/>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0" customFormat="1" ht="14.25">
      <c r="A34" s="2321" t="s">
        <v>2031</v>
      </c>
      <c r="B34" s="122">
        <v>0</v>
      </c>
      <c r="C34" s="1763" t="s">
        <v>2032</v>
      </c>
      <c r="D34" s="2274" t="s">
        <v>2033</v>
      </c>
      <c r="E34" s="732"/>
      <c r="F34" s="2273"/>
      <c r="G34" s="2273"/>
      <c r="H34" s="2273"/>
      <c r="I34" s="2273"/>
      <c r="J34" s="2273"/>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0" customFormat="1" ht="14.25">
      <c r="A35" s="2321" t="s">
        <v>2034</v>
      </c>
      <c r="B35" s="119">
        <v>200</v>
      </c>
      <c r="C35" s="1763" t="s">
        <v>2035</v>
      </c>
      <c r="D35" s="2319"/>
      <c r="E35" s="1427"/>
      <c r="F35" s="1427"/>
      <c r="G35" s="2273"/>
      <c r="H35" s="2273"/>
      <c r="I35" s="2273"/>
      <c r="J35" s="2273"/>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3" t="s">
        <v>2036</v>
      </c>
      <c r="B36" s="123">
        <v>1.4999999999999999E-2</v>
      </c>
      <c r="C36" s="1763" t="s">
        <v>2037</v>
      </c>
      <c r="D36" s="2274"/>
      <c r="E36" s="2273"/>
      <c r="F36" s="2273"/>
      <c r="G36" s="2273"/>
      <c r="H36" s="2273"/>
      <c r="I36" s="2273"/>
      <c r="J36" s="2273"/>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4" t="s">
        <v>2038</v>
      </c>
      <c r="B37" s="124">
        <v>0.02</v>
      </c>
      <c r="C37" s="1763" t="s">
        <v>2039</v>
      </c>
      <c r="D37" s="2274"/>
      <c r="E37" s="2273"/>
      <c r="F37" s="2273"/>
      <c r="G37" s="2273"/>
      <c r="H37" s="2273"/>
      <c r="I37" s="2273"/>
      <c r="J37" s="2273"/>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1" t="s">
        <v>2040</v>
      </c>
      <c r="B38" s="122">
        <v>0.03</v>
      </c>
      <c r="C38" s="1763" t="s">
        <v>2039</v>
      </c>
      <c r="D38" s="2274"/>
      <c r="E38" s="2273"/>
      <c r="F38" s="2273"/>
      <c r="G38" s="2273"/>
      <c r="H38" s="2273"/>
      <c r="I38" s="2273"/>
      <c r="J38" s="2273"/>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5" t="s">
        <v>2041</v>
      </c>
      <c r="B39" s="362">
        <f ca="1">存贷款利率!I1</f>
        <v>1.4999999999999999E-2</v>
      </c>
      <c r="C39" s="1763"/>
      <c r="D39" s="2274"/>
      <c r="E39" s="2273"/>
      <c r="F39" s="2273"/>
      <c r="G39" s="2273"/>
      <c r="H39" s="2273"/>
      <c r="I39" s="2273"/>
      <c r="J39" s="2273"/>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5" t="s">
        <v>2042</v>
      </c>
      <c r="B40" s="1300">
        <f ca="1">存贷款利率!G1</f>
        <v>4.7500000000000001E-2</v>
      </c>
      <c r="C40" s="1763" t="s">
        <v>2043</v>
      </c>
      <c r="D40" s="1581"/>
      <c r="E40" s="2274"/>
      <c r="F40" s="2273"/>
      <c r="G40" s="2273"/>
      <c r="H40" s="2273"/>
      <c r="I40" s="2273"/>
      <c r="J40" s="2273"/>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8" t="s">
        <v>2044</v>
      </c>
      <c r="B41" s="125">
        <f>B42+B43</f>
        <v>5.6000000000000001E-2</v>
      </c>
      <c r="C41" s="1764"/>
      <c r="D41" s="1581"/>
      <c r="E41" s="2274"/>
      <c r="F41" s="2273"/>
      <c r="G41" s="2273"/>
      <c r="H41" s="2273"/>
      <c r="I41" s="2273"/>
      <c r="J41" s="2273"/>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6" t="s">
        <v>2045</v>
      </c>
      <c r="B42" s="126">
        <v>0.05</v>
      </c>
      <c r="C42" s="2327">
        <f>IF(B2&lt;DATE(2016,5,1),0,B42)</f>
        <v>0.05</v>
      </c>
      <c r="D42" s="2274"/>
      <c r="E42" s="2273"/>
      <c r="F42" s="2273"/>
      <c r="G42" s="2273"/>
      <c r="H42" s="2273"/>
      <c r="I42" s="2273"/>
      <c r="J42" s="2273"/>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6" t="s">
        <v>2046</v>
      </c>
      <c r="B43" s="127">
        <f>B42*(B44+B45+B46)+B47</f>
        <v>6.000000000000001E-3</v>
      </c>
      <c r="C43" s="1764"/>
      <c r="D43" s="2274"/>
      <c r="E43" s="2273"/>
      <c r="F43" s="2273"/>
      <c r="G43" s="2273"/>
      <c r="H43" s="2273"/>
      <c r="I43" s="2273"/>
      <c r="J43" s="2273"/>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8" t="s">
        <v>2047</v>
      </c>
      <c r="B44" s="128">
        <v>7.0000000000000007E-2</v>
      </c>
      <c r="C44" s="1763" t="s">
        <v>2048</v>
      </c>
      <c r="D44" s="2274"/>
      <c r="E44" s="2273"/>
      <c r="F44" s="2273"/>
      <c r="G44" s="2273"/>
      <c r="H44" s="2273"/>
      <c r="I44" s="2273"/>
      <c r="J44" s="2273"/>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8" t="s">
        <v>2049</v>
      </c>
      <c r="B45" s="126">
        <v>0.03</v>
      </c>
      <c r="C45" s="1764" t="s">
        <v>2050</v>
      </c>
      <c r="D45" s="2274"/>
      <c r="E45" s="2273"/>
      <c r="F45" s="2273"/>
      <c r="G45" s="2273"/>
      <c r="H45" s="2273"/>
      <c r="I45" s="2273"/>
      <c r="J45" s="2273"/>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8" t="s">
        <v>2051</v>
      </c>
      <c r="B46" s="126">
        <v>0.02</v>
      </c>
      <c r="C46" s="1764" t="s">
        <v>2052</v>
      </c>
      <c r="D46" s="2274"/>
      <c r="E46" s="2273"/>
      <c r="F46" s="2273"/>
      <c r="G46" s="2273"/>
      <c r="H46" s="2273"/>
      <c r="I46" s="2273"/>
      <c r="J46" s="2273"/>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9" t="s">
        <v>2053</v>
      </c>
      <c r="B47" s="129">
        <v>0</v>
      </c>
      <c r="C47" s="1764" t="s">
        <v>2054</v>
      </c>
      <c r="D47" s="2274"/>
      <c r="E47" s="2273"/>
      <c r="F47" s="2273"/>
      <c r="G47" s="2273"/>
      <c r="H47" s="2273"/>
      <c r="I47" s="2273"/>
      <c r="J47" s="2273"/>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0" t="s">
        <v>2055</v>
      </c>
      <c r="B48" s="130">
        <v>0.03</v>
      </c>
      <c r="C48" s="1771" t="s">
        <v>2056</v>
      </c>
      <c r="D48" s="2274"/>
      <c r="E48" s="2273"/>
      <c r="F48" s="2273"/>
      <c r="G48" s="2273"/>
      <c r="H48" s="2273"/>
      <c r="I48" s="2273"/>
      <c r="J48" s="2273"/>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5" t="s">
        <v>2057</v>
      </c>
      <c r="B49" s="126">
        <v>5.0000000000000001E-4</v>
      </c>
      <c r="C49" s="1771" t="s">
        <v>2058</v>
      </c>
      <c r="D49" s="2274"/>
      <c r="E49" s="2273"/>
      <c r="F49" s="2273"/>
      <c r="G49" s="2273"/>
      <c r="H49" s="2273"/>
      <c r="I49" s="2273"/>
      <c r="J49" s="2273"/>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1" t="s">
        <v>2059</v>
      </c>
      <c r="B50" s="131">
        <v>1.2E-2</v>
      </c>
      <c r="C50" s="1427"/>
      <c r="D50" s="2274"/>
      <c r="E50" s="2273"/>
      <c r="F50" s="2273"/>
      <c r="G50" s="2273"/>
      <c r="H50" s="2273"/>
      <c r="I50" s="2273"/>
      <c r="J50" s="2273"/>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3" t="s">
        <v>2060</v>
      </c>
      <c r="B51" s="132">
        <v>0.12</v>
      </c>
      <c r="C51" s="1427"/>
      <c r="D51" s="2274"/>
      <c r="E51" s="2273"/>
      <c r="F51" s="2273"/>
      <c r="G51" s="2273"/>
      <c r="H51" s="2273"/>
      <c r="I51" s="2273"/>
      <c r="J51" s="2273"/>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1" t="s">
        <v>2061</v>
      </c>
      <c r="B52" s="133">
        <f>SUMIF(A54:A63,B53,B54:B63)</f>
        <v>2</v>
      </c>
      <c r="C52" s="1427"/>
      <c r="D52" s="2274"/>
      <c r="E52" s="2273"/>
      <c r="F52" s="2273"/>
      <c r="G52" s="2273"/>
      <c r="H52" s="2273"/>
      <c r="I52" s="2273"/>
      <c r="J52" s="2273"/>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1" t="s">
        <v>2062</v>
      </c>
      <c r="B53" s="2332" t="s">
        <v>523</v>
      </c>
      <c r="C53" s="1427" t="s">
        <v>2063</v>
      </c>
      <c r="D53" s="2333" t="s">
        <v>2064</v>
      </c>
      <c r="E53" s="2273"/>
      <c r="F53" s="2273"/>
      <c r="G53" s="2273"/>
      <c r="H53" s="2273"/>
      <c r="I53" s="2273"/>
      <c r="J53" s="2273"/>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4" t="s">
        <v>2065</v>
      </c>
      <c r="B54" s="84"/>
      <c r="C54" s="1427">
        <v>30</v>
      </c>
      <c r="D54" s="2274"/>
      <c r="E54" s="2273"/>
      <c r="F54" s="2273"/>
      <c r="G54" s="2273"/>
      <c r="H54" s="2273"/>
      <c r="I54" s="2273"/>
      <c r="J54" s="2273"/>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4" t="s">
        <v>2066</v>
      </c>
      <c r="B55" s="84"/>
      <c r="C55" s="1427">
        <v>24</v>
      </c>
      <c r="D55" s="2274"/>
      <c r="E55" s="2273"/>
      <c r="F55" s="2273"/>
      <c r="G55" s="2273"/>
      <c r="H55" s="2273"/>
      <c r="I55" s="2335"/>
      <c r="J55" s="2273"/>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4" t="s">
        <v>2067</v>
      </c>
      <c r="B56" s="84"/>
      <c r="C56" s="1427">
        <v>18</v>
      </c>
      <c r="D56" s="2274"/>
      <c r="E56" s="2273"/>
      <c r="F56" s="2273"/>
      <c r="G56" s="2273"/>
      <c r="H56" s="2273"/>
      <c r="I56" s="2273"/>
      <c r="J56" s="2273"/>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4" t="s">
        <v>2068</v>
      </c>
      <c r="B57" s="84"/>
      <c r="C57" s="1427">
        <v>12</v>
      </c>
      <c r="D57" s="2274"/>
      <c r="E57" s="2273"/>
      <c r="F57" s="2273"/>
      <c r="G57" s="2273"/>
      <c r="H57" s="2273"/>
      <c r="I57" s="2273"/>
      <c r="J57" s="2273"/>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4" t="s">
        <v>2069</v>
      </c>
      <c r="B58" s="84">
        <v>2</v>
      </c>
      <c r="C58" s="1427">
        <v>3</v>
      </c>
      <c r="D58" s="2274"/>
      <c r="E58" s="2273"/>
      <c r="F58" s="2273"/>
      <c r="G58" s="2273"/>
      <c r="H58" s="2273"/>
      <c r="I58" s="2273"/>
      <c r="J58" s="2273"/>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4" t="s">
        <v>2070</v>
      </c>
      <c r="B59" s="84"/>
      <c r="C59" s="1427">
        <v>1.5</v>
      </c>
      <c r="D59" s="2274"/>
      <c r="E59" s="2273"/>
      <c r="F59" s="2273"/>
      <c r="G59" s="2273"/>
      <c r="H59" s="2273"/>
      <c r="I59" s="2273"/>
      <c r="J59" s="2273"/>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4" t="s">
        <v>2071</v>
      </c>
      <c r="B60" s="84"/>
      <c r="C60" s="2273"/>
      <c r="D60" s="2274"/>
      <c r="E60" s="2273"/>
      <c r="F60" s="2273"/>
      <c r="G60" s="2273"/>
      <c r="H60" s="2273"/>
      <c r="I60" s="2273"/>
      <c r="J60" s="2273"/>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4" t="s">
        <v>2072</v>
      </c>
      <c r="B61" s="84"/>
      <c r="C61" s="2273"/>
      <c r="D61" s="2274"/>
      <c r="E61" s="2273"/>
      <c r="F61" s="2273"/>
      <c r="G61" s="2273"/>
      <c r="H61" s="2273"/>
      <c r="I61" s="2273"/>
      <c r="J61" s="2273"/>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4" t="s">
        <v>2073</v>
      </c>
      <c r="B62" s="84"/>
      <c r="C62" s="2273"/>
      <c r="D62" s="2274"/>
      <c r="E62" s="2273"/>
      <c r="F62" s="2273"/>
      <c r="G62" s="2273"/>
      <c r="H62" s="2273"/>
      <c r="I62" s="2273"/>
      <c r="J62" s="2273"/>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6" t="s">
        <v>2074</v>
      </c>
      <c r="B63" s="134"/>
      <c r="C63" s="2273"/>
      <c r="D63" s="2274"/>
      <c r="E63" s="2273"/>
      <c r="F63" s="2273"/>
      <c r="G63" s="2273"/>
      <c r="H63" s="2273"/>
      <c r="I63" s="2273"/>
      <c r="J63" s="2273"/>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7"/>
      <c r="D64" s="2338"/>
      <c r="K64" s="798"/>
      <c r="L64" s="798"/>
    </row>
    <row r="65" spans="1:12" s="964" customFormat="1">
      <c r="A65" s="2337"/>
      <c r="D65" s="2338"/>
      <c r="K65" s="798"/>
      <c r="L65" s="798"/>
    </row>
    <row r="66" spans="1:12" s="964" customFormat="1">
      <c r="A66" s="2337"/>
      <c r="D66" s="2338"/>
      <c r="K66" s="798"/>
      <c r="L66" s="798"/>
    </row>
    <row r="67" spans="1:12" s="964" customFormat="1">
      <c r="A67" s="2337"/>
      <c r="D67" s="2338"/>
      <c r="K67" s="798"/>
      <c r="L67" s="798"/>
    </row>
    <row r="68" spans="1:12" s="964" customFormat="1">
      <c r="A68" s="2337"/>
      <c r="D68" s="2338"/>
      <c r="K68" s="798"/>
      <c r="L68" s="798"/>
    </row>
    <row r="69" spans="1:12" s="964" customFormat="1">
      <c r="A69" s="2337"/>
      <c r="D69" s="2338"/>
      <c r="K69" s="798"/>
      <c r="L69" s="798"/>
    </row>
    <row r="70" spans="1:12" s="964" customFormat="1">
      <c r="A70" s="2337"/>
      <c r="D70" s="2338"/>
      <c r="K70" s="798"/>
      <c r="L70" s="798"/>
    </row>
    <row r="71" spans="1:12" s="964" customFormat="1">
      <c r="A71" s="2337"/>
      <c r="D71" s="2338"/>
      <c r="K71" s="798"/>
      <c r="L71" s="798"/>
    </row>
    <row r="72" spans="1:12" s="964" customFormat="1">
      <c r="A72" s="2337"/>
      <c r="D72" s="2338"/>
      <c r="K72" s="798"/>
      <c r="L72" s="798"/>
    </row>
    <row r="73" spans="1:12" s="964" customFormat="1">
      <c r="A73" s="2337"/>
      <c r="D73" s="2338"/>
      <c r="K73" s="798"/>
      <c r="L73" s="798"/>
    </row>
    <row r="74" spans="1:12" s="964" customFormat="1">
      <c r="A74" s="2337"/>
      <c r="D74" s="2338"/>
      <c r="K74" s="798"/>
      <c r="L74" s="798"/>
    </row>
    <row r="75" spans="1:12" s="964" customFormat="1">
      <c r="A75" s="2337"/>
      <c r="D75" s="2338"/>
      <c r="K75" s="798"/>
      <c r="L75" s="798"/>
    </row>
    <row r="76" spans="1:12" s="964" customFormat="1">
      <c r="A76" s="2337"/>
      <c r="D76" s="2338"/>
      <c r="K76" s="798"/>
      <c r="L76" s="798"/>
    </row>
    <row r="77" spans="1:12" s="964" customFormat="1">
      <c r="A77" s="2337"/>
      <c r="D77" s="2338"/>
      <c r="K77" s="798"/>
      <c r="L77" s="798"/>
    </row>
    <row r="78" spans="1:12" s="964" customFormat="1">
      <c r="A78" s="2337"/>
      <c r="D78" s="2338"/>
      <c r="K78" s="798"/>
      <c r="L78" s="798"/>
    </row>
    <row r="79" spans="1:12" s="964" customFormat="1">
      <c r="A79" s="2337"/>
      <c r="D79" s="2338"/>
      <c r="K79" s="798"/>
      <c r="L79" s="798"/>
    </row>
    <row r="80" spans="1:12" s="964" customFormat="1">
      <c r="A80" s="2337"/>
      <c r="D80" s="2338"/>
      <c r="K80" s="798"/>
      <c r="L80" s="798"/>
    </row>
    <row r="81" spans="1:12" s="964" customFormat="1">
      <c r="A81" s="2337"/>
      <c r="D81" s="2338"/>
      <c r="K81" s="798"/>
      <c r="L81" s="798"/>
    </row>
    <row r="82" spans="1:12" s="964" customFormat="1">
      <c r="A82" s="2337"/>
      <c r="D82" s="2338"/>
      <c r="K82" s="798"/>
      <c r="L82" s="798"/>
    </row>
    <row r="83" spans="1:12" s="964" customFormat="1">
      <c r="A83" s="2337"/>
      <c r="D83" s="2338"/>
      <c r="K83" s="798"/>
      <c r="L83" s="798"/>
    </row>
    <row r="84" spans="1:12" s="964" customFormat="1">
      <c r="A84" s="2337"/>
      <c r="D84" s="2338"/>
      <c r="K84" s="798"/>
      <c r="L84" s="798"/>
    </row>
    <row r="85" spans="1:12" s="964" customFormat="1">
      <c r="A85" s="2337"/>
      <c r="D85" s="2338"/>
      <c r="K85" s="798"/>
      <c r="L85" s="798"/>
    </row>
    <row r="86" spans="1:12" s="964" customFormat="1">
      <c r="A86" s="2337"/>
      <c r="D86" s="2338"/>
      <c r="K86" s="798"/>
      <c r="L86" s="798"/>
    </row>
    <row r="87" spans="1:12" s="964" customFormat="1">
      <c r="A87" s="2337"/>
      <c r="D87" s="2338"/>
      <c r="K87" s="798"/>
      <c r="L87" s="798"/>
    </row>
    <row r="88" spans="1:12" s="964" customFormat="1">
      <c r="A88" s="2337"/>
      <c r="D88" s="2338"/>
      <c r="K88" s="798"/>
      <c r="L88" s="798"/>
    </row>
    <row r="89" spans="1:12" s="964" customFormat="1">
      <c r="A89" s="2337"/>
      <c r="D89" s="2338"/>
      <c r="K89" s="798"/>
      <c r="L89" s="798"/>
    </row>
    <row r="90" spans="1:12" s="964" customFormat="1">
      <c r="A90" s="2337"/>
      <c r="D90" s="2338"/>
      <c r="K90" s="798"/>
      <c r="L90" s="798"/>
    </row>
    <row r="91" spans="1:12" s="964" customFormat="1">
      <c r="A91" s="2337"/>
      <c r="D91" s="2338"/>
      <c r="K91" s="798"/>
      <c r="L91" s="798"/>
    </row>
    <row r="92" spans="1:12" s="964" customFormat="1">
      <c r="A92" s="2337"/>
      <c r="D92" s="2338"/>
      <c r="K92" s="798"/>
      <c r="L92" s="798"/>
    </row>
    <row r="93" spans="1:12" s="964" customFormat="1">
      <c r="A93" s="2337"/>
      <c r="D93" s="2338"/>
      <c r="K93" s="798"/>
      <c r="L93" s="798"/>
    </row>
    <row r="94" spans="1:12" s="964" customFormat="1">
      <c r="A94" s="2337"/>
      <c r="D94" s="2338"/>
      <c r="K94" s="798"/>
      <c r="L94" s="798"/>
    </row>
    <row r="95" spans="1:12" s="964" customFormat="1">
      <c r="A95" s="2337"/>
      <c r="D95" s="2338"/>
      <c r="K95" s="798"/>
      <c r="L95" s="798"/>
    </row>
    <row r="96" spans="1:12" s="964" customFormat="1">
      <c r="A96" s="2337"/>
      <c r="D96" s="2338"/>
      <c r="K96" s="798"/>
      <c r="L96" s="798"/>
    </row>
    <row r="97" spans="1:12" s="964" customFormat="1">
      <c r="A97" s="2337"/>
      <c r="D97" s="2338"/>
      <c r="K97" s="798"/>
      <c r="L97" s="798"/>
    </row>
    <row r="98" spans="1:12" s="964" customFormat="1">
      <c r="A98" s="2337"/>
      <c r="D98" s="2338"/>
      <c r="K98" s="798"/>
      <c r="L98" s="798"/>
    </row>
    <row r="99" spans="1:12" s="964" customFormat="1">
      <c r="A99" s="2337"/>
      <c r="D99" s="2338"/>
      <c r="K99" s="798"/>
      <c r="L99" s="798"/>
    </row>
    <row r="100" spans="1:12" s="964" customFormat="1">
      <c r="A100" s="2337"/>
      <c r="D100" s="2338"/>
      <c r="K100" s="798"/>
      <c r="L100" s="798"/>
    </row>
    <row r="101" spans="1:12" s="964" customFormat="1">
      <c r="A101" s="2337"/>
      <c r="D101" s="2338"/>
      <c r="K101" s="798"/>
      <c r="L101" s="798"/>
    </row>
    <row r="102" spans="1:12" s="964" customFormat="1">
      <c r="A102" s="2337"/>
      <c r="D102" s="2338"/>
      <c r="K102" s="798"/>
      <c r="L102" s="798"/>
    </row>
    <row r="103" spans="1:12" s="964" customFormat="1">
      <c r="A103" s="2337"/>
      <c r="D103" s="2338"/>
      <c r="K103" s="798"/>
      <c r="L103" s="798"/>
    </row>
    <row r="104" spans="1:12" s="964" customFormat="1">
      <c r="A104" s="2337"/>
      <c r="D104" s="2338"/>
      <c r="K104" s="798"/>
      <c r="L104" s="798"/>
    </row>
    <row r="105" spans="1:12" s="964" customFormat="1">
      <c r="A105" s="2337"/>
      <c r="D105" s="2338"/>
      <c r="K105" s="798"/>
      <c r="L105" s="798"/>
    </row>
    <row r="106" spans="1:12" s="964" customFormat="1">
      <c r="A106" s="2337"/>
      <c r="D106" s="2338"/>
      <c r="K106" s="798"/>
      <c r="L106" s="798"/>
    </row>
    <row r="107" spans="1:12" s="964" customFormat="1">
      <c r="A107" s="2337"/>
      <c r="D107" s="2338"/>
      <c r="K107" s="798"/>
      <c r="L107" s="798"/>
    </row>
    <row r="108" spans="1:12" s="964" customFormat="1">
      <c r="A108" s="2337"/>
      <c r="D108" s="2338"/>
      <c r="K108" s="798"/>
      <c r="L108" s="798"/>
    </row>
    <row r="109" spans="1:12" s="964" customFormat="1">
      <c r="A109" s="2337"/>
      <c r="D109" s="2338"/>
      <c r="K109" s="798"/>
      <c r="L109" s="798"/>
    </row>
    <row r="110" spans="1:12" s="964" customFormat="1">
      <c r="A110" s="2337"/>
      <c r="D110" s="2338"/>
      <c r="K110" s="798"/>
      <c r="L110" s="798"/>
    </row>
    <row r="111" spans="1:12" s="964" customFormat="1">
      <c r="A111" s="2337"/>
      <c r="D111" s="2338"/>
      <c r="K111" s="798"/>
      <c r="L111" s="798"/>
    </row>
    <row r="112" spans="1:12" s="964" customFormat="1">
      <c r="A112" s="2337"/>
      <c r="D112" s="2338"/>
      <c r="K112" s="798"/>
      <c r="L112" s="798"/>
    </row>
    <row r="113" spans="1:12" s="964" customFormat="1">
      <c r="A113" s="2337"/>
      <c r="D113" s="2338"/>
      <c r="K113" s="798"/>
      <c r="L113" s="798"/>
    </row>
    <row r="114" spans="1:12" s="964" customFormat="1">
      <c r="A114" s="2337"/>
      <c r="D114" s="2338"/>
      <c r="K114" s="798"/>
      <c r="L114" s="798"/>
    </row>
    <row r="115" spans="1:12" s="964" customFormat="1">
      <c r="A115" s="2337"/>
      <c r="D115" s="2338"/>
      <c r="K115" s="798"/>
      <c r="L115" s="798"/>
    </row>
    <row r="116" spans="1:12" s="964" customFormat="1">
      <c r="A116" s="2337"/>
      <c r="D116" s="2338"/>
      <c r="K116" s="798"/>
      <c r="L116" s="798"/>
    </row>
    <row r="117" spans="1:12" s="964" customFormat="1">
      <c r="A117" s="2337"/>
      <c r="D117" s="2338"/>
      <c r="K117" s="798"/>
      <c r="L117" s="798"/>
    </row>
    <row r="118" spans="1:12" s="964" customFormat="1">
      <c r="A118" s="2337"/>
      <c r="D118" s="2338"/>
      <c r="K118" s="798"/>
      <c r="L118" s="798"/>
    </row>
    <row r="119" spans="1:12" s="964" customFormat="1">
      <c r="A119" s="2337"/>
      <c r="D119" s="2338"/>
      <c r="K119" s="798"/>
      <c r="L119" s="798"/>
    </row>
    <row r="120" spans="1:12" s="964" customFormat="1">
      <c r="A120" s="2337"/>
      <c r="D120" s="2338"/>
      <c r="K120" s="798"/>
      <c r="L120" s="798"/>
    </row>
    <row r="121" spans="1:12" s="964" customFormat="1">
      <c r="A121" s="2337"/>
      <c r="D121" s="2338"/>
      <c r="K121" s="798"/>
      <c r="L121" s="798"/>
    </row>
    <row r="122" spans="1:12" s="964" customFormat="1">
      <c r="A122" s="2337"/>
      <c r="D122" s="2338"/>
      <c r="K122" s="798"/>
      <c r="L122" s="798"/>
    </row>
    <row r="123" spans="1:12" s="964" customFormat="1">
      <c r="A123" s="2337"/>
      <c r="D123" s="2338"/>
      <c r="K123" s="798"/>
      <c r="L123" s="798"/>
    </row>
    <row r="124" spans="1:12" s="964" customFormat="1">
      <c r="A124" s="2337"/>
      <c r="D124" s="2338"/>
      <c r="K124" s="798"/>
      <c r="L124" s="798"/>
    </row>
    <row r="125" spans="1:12" s="964" customFormat="1">
      <c r="A125" s="2337"/>
      <c r="D125" s="2338"/>
      <c r="K125" s="798"/>
      <c r="L125" s="798"/>
    </row>
    <row r="126" spans="1:12" s="964" customFormat="1">
      <c r="A126" s="2337"/>
      <c r="D126" s="2338"/>
      <c r="K126" s="798"/>
      <c r="L126" s="798"/>
    </row>
    <row r="127" spans="1:12" s="964" customFormat="1">
      <c r="A127" s="2337"/>
      <c r="D127" s="2338"/>
      <c r="K127" s="798"/>
      <c r="L127" s="798"/>
    </row>
    <row r="128" spans="1:12" s="964" customFormat="1">
      <c r="A128" s="2337"/>
      <c r="D128" s="2338"/>
      <c r="K128" s="798"/>
      <c r="L128" s="798"/>
    </row>
    <row r="129" spans="1:12" s="964" customFormat="1">
      <c r="A129" s="2337"/>
      <c r="D129" s="2338"/>
      <c r="K129" s="798"/>
      <c r="L129" s="798"/>
    </row>
    <row r="130" spans="1:12" s="964" customFormat="1">
      <c r="A130" s="2337"/>
      <c r="D130" s="2338"/>
      <c r="K130" s="798"/>
      <c r="L130" s="798"/>
    </row>
    <row r="131" spans="1:12" s="964" customFormat="1">
      <c r="A131" s="2337"/>
      <c r="D131" s="2338"/>
      <c r="K131" s="798"/>
      <c r="L131" s="798"/>
    </row>
    <row r="132" spans="1:12" s="964" customFormat="1">
      <c r="A132" s="2337"/>
      <c r="D132" s="2338"/>
      <c r="K132" s="798"/>
      <c r="L132" s="798"/>
    </row>
    <row r="133" spans="1:12" s="964" customFormat="1">
      <c r="A133" s="2337"/>
      <c r="D133" s="2338"/>
      <c r="K133" s="798"/>
      <c r="L133" s="798"/>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247" t="s">
        <v>2075</v>
      </c>
      <c r="B1" s="3248"/>
      <c r="C1" s="3248"/>
      <c r="D1" s="3248"/>
      <c r="E1" s="3248"/>
      <c r="F1" s="3248"/>
      <c r="G1" s="3248"/>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2076</v>
      </c>
      <c r="D2" s="2362"/>
      <c r="E2" s="2363"/>
      <c r="F2" s="2282"/>
      <c r="G2" s="2361" t="s">
        <v>2077</v>
      </c>
      <c r="H2" s="2364"/>
      <c r="I2" s="2364"/>
      <c r="J2" s="2364"/>
      <c r="K2" s="2364"/>
      <c r="L2" s="2364"/>
      <c r="M2" s="2364"/>
      <c r="N2" s="2364"/>
      <c r="O2" s="2364"/>
      <c r="P2" s="2364"/>
      <c r="Q2" s="2364"/>
      <c r="R2" s="2364"/>
    </row>
    <row r="3" spans="1:29" ht="54">
      <c r="A3" s="415" t="s">
        <v>2078</v>
      </c>
      <c r="B3" s="1268" t="s">
        <v>2079</v>
      </c>
      <c r="C3" s="2366" t="s">
        <v>2080</v>
      </c>
      <c r="D3" s="2367"/>
      <c r="E3" s="431" t="s">
        <v>2078</v>
      </c>
      <c r="F3" s="2368" t="s">
        <v>2081</v>
      </c>
      <c r="G3" s="2369" t="s">
        <v>2082</v>
      </c>
      <c r="H3" s="2364"/>
      <c r="I3" s="2364"/>
      <c r="J3" s="2364"/>
      <c r="K3" s="2364"/>
      <c r="L3" s="2364"/>
      <c r="M3" s="2364"/>
      <c r="N3" s="2364"/>
      <c r="O3" s="2364"/>
      <c r="P3" s="2364"/>
      <c r="Q3" s="2364"/>
      <c r="R3" s="2364"/>
    </row>
    <row r="4" spans="1:29" ht="41.25">
      <c r="A4" s="431"/>
      <c r="B4" s="1795" t="s">
        <v>2083</v>
      </c>
      <c r="C4" s="2370" t="s">
        <v>2084</v>
      </c>
      <c r="D4" s="2367"/>
      <c r="E4" s="2371"/>
      <c r="F4" s="42" t="s">
        <v>2085</v>
      </c>
      <c r="G4" s="2372" t="s">
        <v>2086</v>
      </c>
      <c r="H4" s="2364"/>
      <c r="I4" s="2364"/>
      <c r="J4" s="2364"/>
      <c r="K4" s="2364"/>
      <c r="L4" s="2364"/>
      <c r="M4" s="2364"/>
      <c r="N4" s="2364"/>
      <c r="O4" s="2364"/>
      <c r="P4" s="2364"/>
      <c r="Q4" s="2364"/>
      <c r="R4" s="2364"/>
    </row>
    <row r="5" spans="1:29" ht="41.25">
      <c r="A5" s="431"/>
      <c r="B5" s="1795" t="s">
        <v>2087</v>
      </c>
      <c r="C5" s="2370" t="s">
        <v>2088</v>
      </c>
      <c r="D5" s="2367"/>
      <c r="E5" s="2371"/>
      <c r="F5" s="1795" t="s">
        <v>2089</v>
      </c>
      <c r="G5" s="2372" t="s">
        <v>2090</v>
      </c>
      <c r="H5" s="2364"/>
      <c r="I5" s="2364"/>
      <c r="J5" s="2364"/>
      <c r="K5" s="2364"/>
      <c r="L5" s="2364"/>
      <c r="M5" s="2364"/>
      <c r="N5" s="2364"/>
      <c r="O5" s="2364"/>
      <c r="P5" s="2364"/>
      <c r="Q5" s="2364"/>
      <c r="R5" s="2364"/>
    </row>
    <row r="6" spans="1:29" ht="54">
      <c r="A6" s="431"/>
      <c r="B6" s="1795" t="s">
        <v>2091</v>
      </c>
      <c r="C6" s="2372" t="s">
        <v>2086</v>
      </c>
      <c r="D6" s="2367"/>
      <c r="E6" s="2371"/>
      <c r="F6" s="1795" t="s">
        <v>2092</v>
      </c>
      <c r="G6" s="2372" t="s">
        <v>2093</v>
      </c>
      <c r="H6" s="2364"/>
      <c r="I6" s="2364"/>
      <c r="J6" s="2364"/>
      <c r="K6" s="2364"/>
      <c r="L6" s="2364"/>
      <c r="M6" s="2364"/>
      <c r="N6" s="2364"/>
      <c r="O6" s="2364"/>
      <c r="P6" s="2364"/>
      <c r="Q6" s="2364"/>
      <c r="R6" s="2364"/>
    </row>
    <row r="7" spans="1:29" ht="41.25" thickBot="1">
      <c r="A7" s="431"/>
      <c r="B7" s="1795" t="s">
        <v>2089</v>
      </c>
      <c r="C7" s="2372" t="s">
        <v>2090</v>
      </c>
      <c r="D7" s="2373"/>
      <c r="E7" s="2374"/>
      <c r="F7" s="2375" t="s">
        <v>2094</v>
      </c>
      <c r="G7" s="2376" t="s">
        <v>2095</v>
      </c>
      <c r="H7" s="2364"/>
      <c r="I7" s="2364"/>
      <c r="J7" s="2364"/>
      <c r="K7" s="2364"/>
      <c r="L7" s="2364"/>
      <c r="M7" s="2364"/>
      <c r="N7" s="2364"/>
      <c r="O7" s="2364"/>
      <c r="P7" s="2364"/>
      <c r="Q7" s="2364"/>
      <c r="R7" s="2364"/>
    </row>
    <row r="8" spans="1:29" ht="27">
      <c r="A8" s="431"/>
      <c r="B8" s="1795" t="s">
        <v>2092</v>
      </c>
      <c r="C8" s="2372" t="s">
        <v>2093</v>
      </c>
      <c r="D8" s="2373"/>
      <c r="E8" s="2373"/>
      <c r="F8" s="1133"/>
      <c r="G8" s="1133"/>
      <c r="H8" s="2364"/>
      <c r="I8" s="2364"/>
      <c r="J8" s="2364"/>
      <c r="K8" s="2364"/>
      <c r="L8" s="2364"/>
      <c r="M8" s="2364"/>
      <c r="N8" s="2364"/>
      <c r="O8" s="2364"/>
      <c r="P8" s="2364"/>
      <c r="Q8" s="2364"/>
      <c r="R8" s="2364"/>
    </row>
    <row r="9" spans="1:29" ht="27">
      <c r="A9" s="431"/>
      <c r="B9" s="1795" t="s">
        <v>2096</v>
      </c>
      <c r="C9" s="2370" t="s">
        <v>2097</v>
      </c>
      <c r="D9" s="2367"/>
      <c r="E9" s="2373"/>
      <c r="F9" s="1133"/>
      <c r="G9" s="1133"/>
      <c r="H9" s="2364"/>
      <c r="I9" s="2364"/>
      <c r="J9" s="2364"/>
      <c r="K9" s="2364"/>
      <c r="L9" s="2364"/>
      <c r="M9" s="2364"/>
      <c r="N9" s="2364"/>
      <c r="O9" s="2364"/>
      <c r="P9" s="2364"/>
      <c r="Q9" s="2364"/>
      <c r="R9" s="2364"/>
    </row>
    <row r="10" spans="1:29" s="117" customFormat="1" ht="15.75" thickBot="1">
      <c r="A10" s="2377"/>
      <c r="B10" s="2378" t="s">
        <v>2098</v>
      </c>
      <c r="C10" s="2379"/>
      <c r="D10" s="2367"/>
      <c r="E10" s="2367"/>
      <c r="F10" s="1133"/>
      <c r="G10" s="1133"/>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7" customFormat="1" ht="15">
      <c r="A11" s="2383"/>
      <c r="B11" s="2373"/>
      <c r="C11" s="2367"/>
      <c r="D11" s="2367"/>
      <c r="E11" s="2367"/>
      <c r="F11" s="2373"/>
      <c r="G11" s="1151"/>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51"/>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2099</v>
      </c>
      <c r="B13" s="2384"/>
      <c r="C13" s="2384"/>
      <c r="D13" s="2391"/>
      <c r="E13" s="2384"/>
      <c r="F13" s="2384"/>
      <c r="G13" s="2384"/>
    </row>
    <row r="14" spans="1:29" ht="15.75" thickBot="1">
      <c r="A14" s="2395"/>
      <c r="B14" s="2396"/>
      <c r="C14" s="2397" t="s">
        <v>2100</v>
      </c>
      <c r="D14" s="2367"/>
      <c r="E14" s="2398"/>
      <c r="F14" s="2398"/>
      <c r="G14" s="2361" t="s">
        <v>2101</v>
      </c>
    </row>
    <row r="15" spans="1:29" ht="57">
      <c r="A15" s="68" t="s">
        <v>2102</v>
      </c>
      <c r="B15" s="1267" t="s">
        <v>2079</v>
      </c>
      <c r="C15" s="2399" t="str">
        <f>C3</f>
        <v>估价对象周边居住用地比例、居住小区规模和社区发展完善程度，综合评价居住社区成熟度一般</v>
      </c>
      <c r="D15" s="2367"/>
      <c r="E15" s="2400" t="s">
        <v>2103</v>
      </c>
      <c r="F15" s="1267" t="s">
        <v>2104</v>
      </c>
      <c r="G15" s="135" t="str">
        <f>G3</f>
        <v>估价对象位于XX开发区，园区建设成熟度XX，产业集聚程度XX</v>
      </c>
    </row>
    <row r="16" spans="1:29" ht="42.75">
      <c r="A16" s="645"/>
      <c r="B16" s="2401" t="s">
        <v>2083</v>
      </c>
      <c r="C16" s="2402" t="str">
        <f>C4</f>
        <v>估价对象位于XX商圈，周边商业氛围成熟，人流量大，商业繁华度好</v>
      </c>
      <c r="D16" s="2367"/>
      <c r="E16" s="2403"/>
      <c r="F16" s="2404" t="s">
        <v>2085</v>
      </c>
      <c r="G16" s="136" t="str">
        <f>G4</f>
        <v>估价对象周边道路状况、公共交通通达情况、停车便捷程度，综合评价交通便捷度较好</v>
      </c>
    </row>
    <row r="17" spans="1:18" ht="42.75">
      <c r="A17" s="645"/>
      <c r="B17" s="2401" t="s">
        <v>2087</v>
      </c>
      <c r="C17" s="2402" t="str">
        <f>C5</f>
        <v>估价对象位于XX商圈，周边办公楼项目较多，入驻率高，办公集聚程度较好</v>
      </c>
      <c r="D17" s="2373"/>
      <c r="E17" s="2403"/>
      <c r="F17" s="2404" t="s">
        <v>2105</v>
      </c>
      <c r="G17" s="1569"/>
    </row>
    <row r="18" spans="1:18" ht="57">
      <c r="A18" s="645"/>
      <c r="B18" s="2404" t="s">
        <v>2091</v>
      </c>
      <c r="C18" s="136" t="str">
        <f>C6</f>
        <v>估价对象周边道路状况、公共交通通达情况、停车便捷程度，综合评价交通便捷度较好</v>
      </c>
      <c r="D18" s="2373"/>
      <c r="E18" s="2403"/>
      <c r="F18" s="2404" t="s">
        <v>2094</v>
      </c>
      <c r="G18" s="136" t="str">
        <f>G7</f>
        <v>该园区内是否有污染型企业，绿化情况，卫生条件，整体环境状况判断</v>
      </c>
    </row>
    <row r="19" spans="1:18" ht="28.5">
      <c r="A19" s="645"/>
      <c r="B19" s="2404" t="s">
        <v>2106</v>
      </c>
      <c r="C19" s="1569"/>
      <c r="D19" s="2367"/>
      <c r="E19" s="2403"/>
      <c r="F19" s="1795" t="s">
        <v>2089</v>
      </c>
      <c r="G19" s="136" t="str">
        <f>G5</f>
        <v>估价对象所在区域公共配套设施齐备情况</v>
      </c>
    </row>
    <row r="20" spans="1:18" ht="28.5">
      <c r="A20" s="645"/>
      <c r="B20" s="2404" t="s">
        <v>2107</v>
      </c>
      <c r="C20" s="2402" t="str">
        <f>C9</f>
        <v>区域自然环境：；人文环境；综合评价环境状况一般</v>
      </c>
      <c r="D20" s="2373"/>
      <c r="E20" s="2403"/>
      <c r="F20" s="1795" t="s">
        <v>2108</v>
      </c>
      <c r="G20" s="136" t="str">
        <f>G6</f>
        <v>估价对象所在区域基础设施水平</v>
      </c>
    </row>
    <row r="21" spans="1:18" ht="28.5">
      <c r="A21" s="645"/>
      <c r="B21" s="1795" t="s">
        <v>2089</v>
      </c>
      <c r="C21" s="136" t="str">
        <f>C7</f>
        <v>估价对象所在区域公共配套设施齐备情况</v>
      </c>
      <c r="D21" s="2367"/>
      <c r="E21" s="2403"/>
      <c r="F21" s="2404" t="s">
        <v>2109</v>
      </c>
      <c r="G21" s="2405"/>
    </row>
    <row r="22" spans="1:18" ht="13.5" customHeight="1">
      <c r="A22" s="645"/>
      <c r="B22" s="1795" t="s">
        <v>2092</v>
      </c>
      <c r="C22" s="136" t="str">
        <f>C8</f>
        <v>估价对象所在区域基础设施水平</v>
      </c>
      <c r="D22" s="2367"/>
      <c r="E22" s="2403"/>
      <c r="F22" s="2404" t="s">
        <v>2098</v>
      </c>
      <c r="G22" s="1569"/>
    </row>
    <row r="23" spans="1:18" s="2364" customFormat="1" ht="15.75" thickBot="1">
      <c r="A23" s="645"/>
      <c r="B23" s="2404" t="s">
        <v>2109</v>
      </c>
      <c r="C23" s="2405"/>
      <c r="D23" s="2392"/>
      <c r="E23" s="2406"/>
      <c r="F23" s="2407" t="s">
        <v>2110</v>
      </c>
      <c r="G23" s="2408"/>
      <c r="H23" s="2392"/>
      <c r="I23" s="2393"/>
      <c r="J23" s="2392"/>
      <c r="K23" s="2392"/>
      <c r="L23" s="2393"/>
      <c r="M23" s="2392"/>
      <c r="N23" s="2392"/>
      <c r="O23" s="2393"/>
      <c r="P23" s="2392"/>
      <c r="Q23" s="2392"/>
      <c r="R23" s="2394"/>
    </row>
    <row r="24" spans="1:18" s="2364" customFormat="1" ht="15.75" thickBot="1">
      <c r="A24" s="2409"/>
      <c r="B24" s="2407" t="s">
        <v>2111</v>
      </c>
      <c r="C24" s="137">
        <f>C10</f>
        <v>0</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193040.62000000002</v>
      </c>
      <c r="C1" s="1742"/>
      <c r="D1" s="1742"/>
      <c r="E1" s="1742"/>
      <c r="F1" s="1742"/>
      <c r="G1" s="1740"/>
    </row>
    <row r="2" spans="1:10" ht="16.5">
      <c r="A2" s="1743" t="s">
        <v>1349</v>
      </c>
      <c r="B2" s="1743">
        <f>SUM(C14:C23)</f>
        <v>95897.74</v>
      </c>
      <c r="C2" s="1742"/>
      <c r="D2" s="1742"/>
      <c r="E2" s="1742"/>
      <c r="F2" s="1742"/>
      <c r="G2" s="1740"/>
    </row>
    <row r="3" spans="1:10" ht="16.5">
      <c r="A3" s="1743" t="s">
        <v>1358</v>
      </c>
      <c r="B3" s="1744">
        <f>项目基本情况!D3</f>
        <v>43544</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81875</v>
      </c>
      <c r="C5" s="1743">
        <f ca="1">ROUND(B5*10000/$B$1,0)</f>
        <v>4241</v>
      </c>
      <c r="D5" s="1743">
        <f ca="1">ROUND(B5*10000/$B$2,0)</f>
        <v>8538</v>
      </c>
      <c r="E5" s="1742"/>
      <c r="F5" s="1740"/>
      <c r="G5" s="1740"/>
    </row>
    <row r="6" spans="1:10" ht="16.5">
      <c r="A6" s="1743" t="s">
        <v>1352</v>
      </c>
      <c r="B6" s="1743">
        <f ca="1">SUM(G14:G23)</f>
        <v>81875</v>
      </c>
      <c r="C6" s="1743">
        <f ca="1">ROUND(B6*10000/$B$1,0)</f>
        <v>4241</v>
      </c>
      <c r="D6" s="1743">
        <f ca="1">ROUND(B6*10000/$B$2,0)</f>
        <v>8538</v>
      </c>
      <c r="E6" s="1742"/>
      <c r="F6" s="1740"/>
      <c r="G6" s="1740"/>
    </row>
    <row r="7" spans="1:10" ht="16.5">
      <c r="A7" s="1743" t="s">
        <v>1360</v>
      </c>
      <c r="B7" s="1743">
        <f ca="1">SUM(H14:H23)</f>
        <v>81875</v>
      </c>
      <c r="C7" s="1743">
        <f ca="1">ROUND(B7*10000/$B$1,0)</f>
        <v>4241</v>
      </c>
      <c r="D7" s="1743">
        <f ca="1">ROUND(B7*10000/$B$2,0)</f>
        <v>8538</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193040.62000000002</v>
      </c>
      <c r="C14" s="1741">
        <f>结果表!C118</f>
        <v>95897.74</v>
      </c>
      <c r="D14" s="1741">
        <f ca="1">结果表!H118</f>
        <v>81875</v>
      </c>
      <c r="E14" s="1741">
        <f ca="1">ROUND(D14*10000/B14,0)</f>
        <v>4241</v>
      </c>
      <c r="F14" s="1741">
        <f ca="1">ROUND(D14*10000/C14,0)</f>
        <v>8538</v>
      </c>
      <c r="G14" s="1741">
        <f ca="1">结果表!D122</f>
        <v>81875</v>
      </c>
      <c r="H14" s="1741">
        <f ca="1">结果表!D124</f>
        <v>81875</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AR1155"/>
  <sheetViews>
    <sheetView topLeftCell="C1" workbookViewId="0">
      <pane xSplit="3" ySplit="2" topLeftCell="F405" activePane="bottomRight" state="frozen"/>
      <selection activeCell="C1" sqref="C1"/>
      <selection pane="topRight" activeCell="F1" sqref="F1"/>
      <selection pane="bottomLeft" activeCell="C3" sqref="C3"/>
      <selection pane="bottomRight" activeCell="D4" sqref="D4"/>
    </sheetView>
  </sheetViews>
  <sheetFormatPr defaultRowHeight="13.5"/>
  <cols>
    <col min="1" max="1" width="2.125" style="3048" customWidth="1"/>
    <col min="2" max="2" width="6.25" style="3049" customWidth="1"/>
    <col min="3" max="3" width="10.75" style="3049" customWidth="1"/>
    <col min="4" max="4" width="6.75" style="3049" customWidth="1"/>
    <col min="5" max="5" width="13.75" style="3049" customWidth="1"/>
    <col min="6" max="7" width="8.875" style="3049" customWidth="1"/>
    <col min="8" max="8" width="14.5" style="3049" hidden="1" customWidth="1"/>
    <col min="9" max="9" width="28" style="3049" customWidth="1"/>
    <col min="10" max="10" width="12.875" style="3049" hidden="1" customWidth="1"/>
    <col min="11" max="13" width="14.5" style="3049" hidden="1" customWidth="1"/>
    <col min="14" max="15" width="14.625" style="3049" customWidth="1"/>
    <col min="16" max="16" width="14.5" style="3049" hidden="1" customWidth="1"/>
    <col min="17" max="17" width="14.5" style="3049" customWidth="1"/>
    <col min="18" max="19" width="14.5" style="3049" hidden="1" customWidth="1"/>
    <col min="20" max="21" width="14.5" style="3049" customWidth="1"/>
    <col min="22" max="31" width="14.5" style="3049" hidden="1" customWidth="1"/>
    <col min="32" max="32" width="14.5" style="3050" customWidth="1"/>
    <col min="33" max="33" width="14.5" style="3049" hidden="1" customWidth="1"/>
    <col min="34" max="34" width="14.5" style="3049" customWidth="1"/>
    <col min="35" max="35" width="14.5" style="3049" hidden="1" customWidth="1"/>
    <col min="36" max="36" width="14.5" style="3049" customWidth="1"/>
    <col min="37" max="37" width="14.5" style="3049" hidden="1" customWidth="1"/>
    <col min="38" max="38" width="14.5" style="3049" customWidth="1"/>
    <col min="39" max="40" width="14.5" style="3049" hidden="1" customWidth="1"/>
    <col min="42" max="42" width="10.5" style="3068" bestFit="1" customWidth="1"/>
  </cols>
  <sheetData>
    <row r="2" spans="2:42" ht="27" customHeight="1">
      <c r="B2" s="3066" t="s">
        <v>3518</v>
      </c>
      <c r="C2" s="3066" t="s">
        <v>3519</v>
      </c>
      <c r="D2" s="3066" t="s">
        <v>3520</v>
      </c>
      <c r="E2" s="3066" t="s">
        <v>3521</v>
      </c>
      <c r="F2" s="3066" t="s">
        <v>3522</v>
      </c>
      <c r="G2" s="3066" t="s">
        <v>3523</v>
      </c>
      <c r="H2" s="3066" t="s">
        <v>3524</v>
      </c>
      <c r="I2" s="3066" t="s">
        <v>3525</v>
      </c>
      <c r="J2" s="3066" t="s">
        <v>3526</v>
      </c>
      <c r="K2" s="3066" t="s">
        <v>3527</v>
      </c>
      <c r="L2" s="3066" t="s">
        <v>3528</v>
      </c>
      <c r="M2" s="3066" t="s">
        <v>3529</v>
      </c>
      <c r="N2" s="3066" t="s">
        <v>3530</v>
      </c>
      <c r="O2" s="3066" t="s">
        <v>3531</v>
      </c>
      <c r="P2" s="3066" t="s">
        <v>3532</v>
      </c>
      <c r="Q2" s="3066" t="s">
        <v>3533</v>
      </c>
      <c r="R2" s="3066" t="s">
        <v>3534</v>
      </c>
      <c r="S2" s="3066" t="s">
        <v>3535</v>
      </c>
      <c r="T2" s="3066" t="s">
        <v>3536</v>
      </c>
      <c r="U2" s="3066" t="s">
        <v>3537</v>
      </c>
      <c r="V2" s="3066" t="s">
        <v>3538</v>
      </c>
      <c r="W2" s="3066" t="s">
        <v>3539</v>
      </c>
      <c r="X2" s="3066" t="s">
        <v>3540</v>
      </c>
      <c r="Y2" s="3066" t="s">
        <v>3541</v>
      </c>
      <c r="Z2" s="3066" t="s">
        <v>3542</v>
      </c>
      <c r="AA2" s="3066" t="s">
        <v>3543</v>
      </c>
      <c r="AB2" s="3066" t="s">
        <v>3544</v>
      </c>
      <c r="AC2" s="3066" t="s">
        <v>3545</v>
      </c>
      <c r="AD2" s="3066" t="s">
        <v>3546</v>
      </c>
      <c r="AE2" s="3066" t="s">
        <v>3547</v>
      </c>
      <c r="AF2" s="3067" t="s">
        <v>3548</v>
      </c>
      <c r="AG2" s="3066" t="s">
        <v>3549</v>
      </c>
      <c r="AH2" s="3066" t="s">
        <v>3550</v>
      </c>
      <c r="AI2" s="3066" t="s">
        <v>3551</v>
      </c>
      <c r="AJ2" s="3066" t="s">
        <v>3552</v>
      </c>
      <c r="AK2" s="3066" t="s">
        <v>3553</v>
      </c>
      <c r="AL2" s="3066" t="s">
        <v>3554</v>
      </c>
      <c r="AM2" s="3066" t="s">
        <v>3555</v>
      </c>
      <c r="AN2" s="3066" t="s">
        <v>3556</v>
      </c>
    </row>
    <row r="3" spans="2:42" ht="27" customHeight="1">
      <c r="B3" s="3066">
        <v>1</v>
      </c>
      <c r="C3" s="3066" t="s">
        <v>3557</v>
      </c>
      <c r="D3" s="3066" t="s">
        <v>3558</v>
      </c>
      <c r="E3" s="3136" t="s">
        <v>7077</v>
      </c>
      <c r="F3" s="3066" t="s">
        <v>3559</v>
      </c>
      <c r="G3" s="3066" t="s">
        <v>1373</v>
      </c>
      <c r="H3" s="3066" t="s">
        <v>3560</v>
      </c>
      <c r="I3" s="3066" t="s">
        <v>3561</v>
      </c>
      <c r="J3" s="3066" t="s">
        <v>3562</v>
      </c>
      <c r="K3" s="3066" t="s">
        <v>3560</v>
      </c>
      <c r="L3" s="3066" t="s">
        <v>3563</v>
      </c>
      <c r="M3" s="3066" t="s">
        <v>3564</v>
      </c>
      <c r="N3" s="3066">
        <v>16293.89</v>
      </c>
      <c r="O3" s="3066" t="s">
        <v>3565</v>
      </c>
      <c r="P3" s="3066" t="s">
        <v>3566</v>
      </c>
      <c r="Q3" s="3066">
        <v>15</v>
      </c>
      <c r="R3" s="3066">
        <v>1997289</v>
      </c>
      <c r="S3" s="3066" t="s">
        <v>3567</v>
      </c>
      <c r="T3" s="3066">
        <v>34</v>
      </c>
      <c r="U3" s="3066">
        <v>553992</v>
      </c>
      <c r="V3" s="3066" t="s">
        <v>3560</v>
      </c>
      <c r="W3" s="3066" t="s">
        <v>3568</v>
      </c>
      <c r="X3" s="3066">
        <v>0.3</v>
      </c>
      <c r="Y3" s="3066">
        <v>58656</v>
      </c>
      <c r="Z3" s="3066" t="s">
        <v>3568</v>
      </c>
      <c r="AA3" s="3066" t="s">
        <v>3560</v>
      </c>
      <c r="AB3" s="3066" t="s">
        <v>3569</v>
      </c>
      <c r="AC3" s="3066" t="s">
        <v>3569</v>
      </c>
      <c r="AD3" s="3066" t="s">
        <v>3569</v>
      </c>
      <c r="AE3" s="3066" t="s">
        <v>3560</v>
      </c>
      <c r="AF3" s="3067">
        <v>609391</v>
      </c>
      <c r="AG3" s="3066">
        <v>0</v>
      </c>
      <c r="AH3" s="3066">
        <v>4888</v>
      </c>
      <c r="AI3" s="3066">
        <v>0</v>
      </c>
      <c r="AJ3" s="3066">
        <v>16348.07</v>
      </c>
      <c r="AK3" s="3066">
        <v>0</v>
      </c>
      <c r="AL3" s="3066">
        <v>630627.06999999995</v>
      </c>
      <c r="AM3" s="3066">
        <v>0</v>
      </c>
      <c r="AN3" s="3066" t="s">
        <v>3560</v>
      </c>
      <c r="AP3" s="3068">
        <f>AF3/N3</f>
        <v>37.399970172868478</v>
      </c>
    </row>
    <row r="4" spans="2:42" ht="27" customHeight="1">
      <c r="B4" s="3066">
        <v>2</v>
      </c>
      <c r="C4" s="3066" t="s">
        <v>3097</v>
      </c>
      <c r="D4" s="3066" t="s">
        <v>3558</v>
      </c>
      <c r="E4" s="3136" t="s">
        <v>7078</v>
      </c>
      <c r="F4" s="3066" t="s">
        <v>3559</v>
      </c>
      <c r="G4" s="3066" t="s">
        <v>1373</v>
      </c>
      <c r="H4" s="3066" t="s">
        <v>3560</v>
      </c>
      <c r="I4" s="3066" t="s">
        <v>3570</v>
      </c>
      <c r="J4" s="3066" t="s">
        <v>3571</v>
      </c>
      <c r="K4" s="3066" t="s">
        <v>3560</v>
      </c>
      <c r="L4" s="3066" t="s">
        <v>3572</v>
      </c>
      <c r="M4" s="3066" t="s">
        <v>3573</v>
      </c>
      <c r="N4" s="3066">
        <v>16318</v>
      </c>
      <c r="O4" s="3066" t="s">
        <v>3574</v>
      </c>
      <c r="P4" s="3066" t="s">
        <v>3566</v>
      </c>
      <c r="Q4" s="3066">
        <v>5</v>
      </c>
      <c r="R4" s="3066">
        <v>1370712</v>
      </c>
      <c r="S4" s="3066" t="s">
        <v>3567</v>
      </c>
      <c r="T4" s="3066">
        <v>25.5</v>
      </c>
      <c r="U4" s="3066">
        <v>416109</v>
      </c>
      <c r="V4" s="3066" t="s">
        <v>3560</v>
      </c>
      <c r="W4" s="3066" t="s">
        <v>3568</v>
      </c>
      <c r="X4" s="3066">
        <v>2.5</v>
      </c>
      <c r="Y4" s="3066">
        <v>489540</v>
      </c>
      <c r="Z4" s="3066" t="s">
        <v>3568</v>
      </c>
      <c r="AA4" s="3066" t="s">
        <v>3560</v>
      </c>
      <c r="AB4" s="3066" t="s">
        <v>3575</v>
      </c>
      <c r="AC4" s="3066" t="s">
        <v>3575</v>
      </c>
      <c r="AD4" s="3066" t="s">
        <v>3575</v>
      </c>
      <c r="AE4" s="3066" t="s">
        <v>3560</v>
      </c>
      <c r="AF4" s="3067">
        <v>458862.16</v>
      </c>
      <c r="AG4" s="3066">
        <v>0</v>
      </c>
      <c r="AH4" s="3066">
        <v>45200.86</v>
      </c>
      <c r="AI4" s="3066">
        <v>0</v>
      </c>
      <c r="AJ4" s="3066">
        <v>32267.63</v>
      </c>
      <c r="AK4" s="3066">
        <v>0</v>
      </c>
      <c r="AL4" s="3066">
        <v>536330.65</v>
      </c>
      <c r="AM4" s="3066">
        <v>0</v>
      </c>
      <c r="AN4" s="3066" t="s">
        <v>3560</v>
      </c>
      <c r="AP4" s="3068">
        <f t="shared" ref="AP4:AP67" si="0">AF4/N4</f>
        <v>28.119999999999997</v>
      </c>
    </row>
    <row r="5" spans="2:42" ht="27" customHeight="1">
      <c r="B5" s="3066">
        <v>3</v>
      </c>
      <c r="C5" s="3066" t="s">
        <v>3106</v>
      </c>
      <c r="D5" s="3066" t="s">
        <v>3560</v>
      </c>
      <c r="E5" s="3136" t="s">
        <v>7079</v>
      </c>
      <c r="F5" s="3066" t="s">
        <v>3559</v>
      </c>
      <c r="G5" s="3066" t="s">
        <v>3560</v>
      </c>
      <c r="H5" s="3066" t="s">
        <v>3560</v>
      </c>
      <c r="I5" s="3066" t="s">
        <v>3560</v>
      </c>
      <c r="J5" s="3066" t="s">
        <v>3560</v>
      </c>
      <c r="K5" s="3066" t="s">
        <v>3560</v>
      </c>
      <c r="L5" s="3066" t="s">
        <v>3560</v>
      </c>
      <c r="M5" s="3066" t="s">
        <v>3576</v>
      </c>
      <c r="N5" s="3066">
        <v>636.5</v>
      </c>
      <c r="O5" s="3066" t="s">
        <v>3560</v>
      </c>
      <c r="P5" s="3066" t="s">
        <v>3560</v>
      </c>
      <c r="Q5" s="3066">
        <v>0</v>
      </c>
      <c r="R5" s="3066">
        <v>0</v>
      </c>
      <c r="S5" s="3066" t="s">
        <v>3577</v>
      </c>
      <c r="T5" s="3066">
        <v>0</v>
      </c>
      <c r="U5" s="3066">
        <v>0</v>
      </c>
      <c r="V5" s="3066" t="s">
        <v>3560</v>
      </c>
      <c r="W5" s="3066" t="s">
        <v>3568</v>
      </c>
      <c r="X5" s="3066">
        <v>0</v>
      </c>
      <c r="Y5" s="3066">
        <v>0</v>
      </c>
      <c r="Z5" s="3066" t="s">
        <v>3568</v>
      </c>
      <c r="AA5" s="3066" t="s">
        <v>3560</v>
      </c>
      <c r="AB5" s="3066" t="s">
        <v>3560</v>
      </c>
      <c r="AC5" s="3066" t="s">
        <v>3560</v>
      </c>
      <c r="AD5" s="3066" t="s">
        <v>3560</v>
      </c>
      <c r="AE5" s="3066" t="s">
        <v>3560</v>
      </c>
      <c r="AF5" s="3067">
        <v>0</v>
      </c>
      <c r="AG5" s="3066">
        <v>0</v>
      </c>
      <c r="AH5" s="3066">
        <v>0</v>
      </c>
      <c r="AI5" s="3066">
        <v>0</v>
      </c>
      <c r="AJ5" s="3066">
        <v>0</v>
      </c>
      <c r="AK5" s="3066">
        <v>0</v>
      </c>
      <c r="AL5" s="3066">
        <v>0</v>
      </c>
      <c r="AM5" s="3066">
        <v>0</v>
      </c>
      <c r="AN5" s="3066" t="s">
        <v>3560</v>
      </c>
      <c r="AP5" s="3068">
        <f t="shared" si="0"/>
        <v>0</v>
      </c>
    </row>
    <row r="6" spans="2:42" ht="27" customHeight="1">
      <c r="B6" s="3066">
        <v>4</v>
      </c>
      <c r="C6" s="3066" t="s">
        <v>3106</v>
      </c>
      <c r="D6" s="3066" t="s">
        <v>3560</v>
      </c>
      <c r="E6" s="3136" t="s">
        <v>7080</v>
      </c>
      <c r="F6" s="3066" t="s">
        <v>3559</v>
      </c>
      <c r="G6" s="3066" t="s">
        <v>3560</v>
      </c>
      <c r="H6" s="3066" t="s">
        <v>3560</v>
      </c>
      <c r="I6" s="3066" t="s">
        <v>3560</v>
      </c>
      <c r="J6" s="3066" t="s">
        <v>3560</v>
      </c>
      <c r="K6" s="3066" t="s">
        <v>3560</v>
      </c>
      <c r="L6" s="3066" t="s">
        <v>3560</v>
      </c>
      <c r="M6" s="3066" t="s">
        <v>3578</v>
      </c>
      <c r="N6" s="3066">
        <v>636.5</v>
      </c>
      <c r="O6" s="3066" t="s">
        <v>3560</v>
      </c>
      <c r="P6" s="3066" t="s">
        <v>3560</v>
      </c>
      <c r="Q6" s="3066">
        <v>0</v>
      </c>
      <c r="R6" s="3066">
        <v>0</v>
      </c>
      <c r="S6" s="3066" t="s">
        <v>3577</v>
      </c>
      <c r="T6" s="3066">
        <v>0</v>
      </c>
      <c r="U6" s="3066">
        <v>0</v>
      </c>
      <c r="V6" s="3066" t="s">
        <v>3560</v>
      </c>
      <c r="W6" s="3066" t="s">
        <v>3568</v>
      </c>
      <c r="X6" s="3066">
        <v>0</v>
      </c>
      <c r="Y6" s="3066">
        <v>0</v>
      </c>
      <c r="Z6" s="3066" t="s">
        <v>3568</v>
      </c>
      <c r="AA6" s="3066" t="s">
        <v>3560</v>
      </c>
      <c r="AB6" s="3066" t="s">
        <v>3560</v>
      </c>
      <c r="AC6" s="3066" t="s">
        <v>3560</v>
      </c>
      <c r="AD6" s="3066" t="s">
        <v>3560</v>
      </c>
      <c r="AE6" s="3066" t="s">
        <v>3560</v>
      </c>
      <c r="AF6" s="3067">
        <v>0</v>
      </c>
      <c r="AG6" s="3066">
        <v>0</v>
      </c>
      <c r="AH6" s="3066">
        <v>0</v>
      </c>
      <c r="AI6" s="3066">
        <v>0</v>
      </c>
      <c r="AJ6" s="3066">
        <v>0</v>
      </c>
      <c r="AK6" s="3066">
        <v>0</v>
      </c>
      <c r="AL6" s="3066">
        <v>0</v>
      </c>
      <c r="AM6" s="3066">
        <v>0</v>
      </c>
      <c r="AN6" s="3066" t="s">
        <v>3560</v>
      </c>
      <c r="AP6" s="3068">
        <f t="shared" si="0"/>
        <v>0</v>
      </c>
    </row>
    <row r="7" spans="2:42" ht="27" customHeight="1">
      <c r="B7" s="3066">
        <v>5</v>
      </c>
      <c r="C7" s="3066" t="s">
        <v>3106</v>
      </c>
      <c r="D7" s="3066" t="s">
        <v>3560</v>
      </c>
      <c r="E7" s="3136" t="s">
        <v>7081</v>
      </c>
      <c r="F7" s="3066" t="s">
        <v>3559</v>
      </c>
      <c r="G7" s="3066" t="s">
        <v>1373</v>
      </c>
      <c r="H7" s="3066" t="s">
        <v>3560</v>
      </c>
      <c r="I7" s="3066" t="s">
        <v>3579</v>
      </c>
      <c r="J7" s="3066" t="s">
        <v>3580</v>
      </c>
      <c r="K7" s="3066" t="s">
        <v>3560</v>
      </c>
      <c r="L7" s="3066" t="s">
        <v>3581</v>
      </c>
      <c r="M7" s="3066" t="s">
        <v>3582</v>
      </c>
      <c r="N7" s="3066">
        <v>1273</v>
      </c>
      <c r="O7" s="3066" t="s">
        <v>3583</v>
      </c>
      <c r="P7" s="3066" t="s">
        <v>3566</v>
      </c>
      <c r="Q7" s="3066">
        <v>0</v>
      </c>
      <c r="R7" s="3066">
        <v>134236.5</v>
      </c>
      <c r="S7" s="3066" t="s">
        <v>3567</v>
      </c>
      <c r="T7" s="3066">
        <v>23</v>
      </c>
      <c r="U7" s="3066">
        <v>29279</v>
      </c>
      <c r="V7" s="3066" t="s">
        <v>3560</v>
      </c>
      <c r="W7" s="3066" t="s">
        <v>3568</v>
      </c>
      <c r="X7" s="3066">
        <v>2.5</v>
      </c>
      <c r="Y7" s="3066">
        <v>38190</v>
      </c>
      <c r="Z7" s="3066" t="s">
        <v>3568</v>
      </c>
      <c r="AA7" s="3066" t="s">
        <v>3560</v>
      </c>
      <c r="AB7" s="3066" t="s">
        <v>3584</v>
      </c>
      <c r="AC7" s="3066" t="s">
        <v>3584</v>
      </c>
      <c r="AD7" s="3066" t="s">
        <v>3584</v>
      </c>
      <c r="AE7" s="3066" t="s">
        <v>3560</v>
      </c>
      <c r="AF7" s="3067">
        <v>29279</v>
      </c>
      <c r="AG7" s="3066">
        <v>29279</v>
      </c>
      <c r="AH7" s="3066">
        <v>3182.5</v>
      </c>
      <c r="AI7" s="3066">
        <v>3182.5</v>
      </c>
      <c r="AJ7" s="3066">
        <v>4668.03</v>
      </c>
      <c r="AK7" s="3066">
        <v>4668.03</v>
      </c>
      <c r="AL7" s="3066">
        <v>37129.53</v>
      </c>
      <c r="AM7" s="3066">
        <v>37129.53</v>
      </c>
      <c r="AN7" s="3066" t="s">
        <v>3560</v>
      </c>
      <c r="AP7" s="3068">
        <f t="shared" si="0"/>
        <v>23</v>
      </c>
    </row>
    <row r="8" spans="2:42" ht="27" customHeight="1">
      <c r="B8" s="3066">
        <v>6</v>
      </c>
      <c r="C8" s="3066" t="s">
        <v>3106</v>
      </c>
      <c r="D8" s="3066" t="s">
        <v>3585</v>
      </c>
      <c r="E8" s="3136" t="s">
        <v>7082</v>
      </c>
      <c r="F8" s="3066" t="s">
        <v>3559</v>
      </c>
      <c r="G8" s="3066" t="s">
        <v>1373</v>
      </c>
      <c r="H8" s="3066" t="s">
        <v>3560</v>
      </c>
      <c r="I8" s="3066" t="s">
        <v>3586</v>
      </c>
      <c r="J8" s="3066" t="s">
        <v>3587</v>
      </c>
      <c r="K8" s="3066" t="s">
        <v>3560</v>
      </c>
      <c r="L8" s="3066" t="s">
        <v>3588</v>
      </c>
      <c r="M8" s="3066" t="s">
        <v>3589</v>
      </c>
      <c r="N8" s="3066">
        <v>2586</v>
      </c>
      <c r="O8" s="3066" t="s">
        <v>3590</v>
      </c>
      <c r="P8" s="3066" t="s">
        <v>3566</v>
      </c>
      <c r="Q8" s="3066">
        <v>0</v>
      </c>
      <c r="R8" s="3066">
        <v>150863.20000000001</v>
      </c>
      <c r="S8" s="3066" t="s">
        <v>3567</v>
      </c>
      <c r="T8" s="3066">
        <v>20.5</v>
      </c>
      <c r="U8" s="3066">
        <v>53013</v>
      </c>
      <c r="V8" s="3066" t="s">
        <v>3560</v>
      </c>
      <c r="W8" s="3066" t="s">
        <v>3568</v>
      </c>
      <c r="X8" s="3066">
        <v>2.5</v>
      </c>
      <c r="Y8" s="3066">
        <v>77580</v>
      </c>
      <c r="Z8" s="3066" t="s">
        <v>3568</v>
      </c>
      <c r="AA8" s="3066" t="s">
        <v>3560</v>
      </c>
      <c r="AB8" s="3066" t="s">
        <v>3591</v>
      </c>
      <c r="AC8" s="3066" t="s">
        <v>3591</v>
      </c>
      <c r="AD8" s="3066" t="s">
        <v>3591</v>
      </c>
      <c r="AE8" s="3066" t="s">
        <v>3560</v>
      </c>
      <c r="AF8" s="3067">
        <v>53013</v>
      </c>
      <c r="AG8" s="3066">
        <v>53013</v>
      </c>
      <c r="AH8" s="3066">
        <v>6465</v>
      </c>
      <c r="AI8" s="3066">
        <v>6465</v>
      </c>
      <c r="AJ8" s="3066">
        <v>9749.69</v>
      </c>
      <c r="AK8" s="3066">
        <v>9749.69</v>
      </c>
      <c r="AL8" s="3066">
        <v>69227.69</v>
      </c>
      <c r="AM8" s="3066">
        <v>69227.69</v>
      </c>
      <c r="AN8" s="3066" t="s">
        <v>3560</v>
      </c>
      <c r="AP8" s="3068">
        <f t="shared" si="0"/>
        <v>20.5</v>
      </c>
    </row>
    <row r="9" spans="2:42" ht="27" customHeight="1">
      <c r="B9" s="3066">
        <v>7</v>
      </c>
      <c r="C9" s="3066" t="s">
        <v>3106</v>
      </c>
      <c r="D9" s="3066" t="s">
        <v>3560</v>
      </c>
      <c r="E9" s="3136" t="s">
        <v>7083</v>
      </c>
      <c r="F9" s="3066" t="s">
        <v>3559</v>
      </c>
      <c r="G9" s="3066" t="s">
        <v>3560</v>
      </c>
      <c r="H9" s="3066" t="s">
        <v>3560</v>
      </c>
      <c r="I9" s="3066" t="s">
        <v>3560</v>
      </c>
      <c r="J9" s="3066" t="s">
        <v>3560</v>
      </c>
      <c r="K9" s="3066" t="s">
        <v>3560</v>
      </c>
      <c r="L9" s="3066" t="s">
        <v>3560</v>
      </c>
      <c r="M9" s="3066" t="s">
        <v>3592</v>
      </c>
      <c r="N9" s="3066">
        <v>508</v>
      </c>
      <c r="O9" s="3066" t="s">
        <v>3560</v>
      </c>
      <c r="P9" s="3066" t="s">
        <v>3560</v>
      </c>
      <c r="Q9" s="3066">
        <v>0</v>
      </c>
      <c r="R9" s="3066">
        <v>0</v>
      </c>
      <c r="S9" s="3066" t="s">
        <v>3577</v>
      </c>
      <c r="T9" s="3066">
        <v>0</v>
      </c>
      <c r="U9" s="3066">
        <v>0</v>
      </c>
      <c r="V9" s="3066" t="s">
        <v>3560</v>
      </c>
      <c r="W9" s="3066" t="s">
        <v>3568</v>
      </c>
      <c r="X9" s="3066">
        <v>0</v>
      </c>
      <c r="Y9" s="3066">
        <v>0</v>
      </c>
      <c r="Z9" s="3066" t="s">
        <v>3568</v>
      </c>
      <c r="AA9" s="3066" t="s">
        <v>3560</v>
      </c>
      <c r="AB9" s="3066" t="s">
        <v>3560</v>
      </c>
      <c r="AC9" s="3066" t="s">
        <v>3560</v>
      </c>
      <c r="AD9" s="3066" t="s">
        <v>3560</v>
      </c>
      <c r="AE9" s="3066" t="s">
        <v>3560</v>
      </c>
      <c r="AF9" s="3067">
        <v>0</v>
      </c>
      <c r="AG9" s="3066">
        <v>0</v>
      </c>
      <c r="AH9" s="3066">
        <v>0</v>
      </c>
      <c r="AI9" s="3066">
        <v>0</v>
      </c>
      <c r="AJ9" s="3066">
        <v>0</v>
      </c>
      <c r="AK9" s="3066">
        <v>0</v>
      </c>
      <c r="AL9" s="3066">
        <v>0</v>
      </c>
      <c r="AM9" s="3066">
        <v>0</v>
      </c>
      <c r="AN9" s="3066" t="s">
        <v>3560</v>
      </c>
      <c r="AP9" s="3068">
        <f t="shared" si="0"/>
        <v>0</v>
      </c>
    </row>
    <row r="10" spans="2:42" ht="27" customHeight="1">
      <c r="B10" s="3066">
        <v>8</v>
      </c>
      <c r="C10" s="3066" t="s">
        <v>3121</v>
      </c>
      <c r="D10" s="3066" t="s">
        <v>3560</v>
      </c>
      <c r="E10" s="3136" t="s">
        <v>7084</v>
      </c>
      <c r="F10" s="3066" t="s">
        <v>3559</v>
      </c>
      <c r="G10" s="3066" t="s">
        <v>1373</v>
      </c>
      <c r="H10" s="3066" t="s">
        <v>3560</v>
      </c>
      <c r="I10" s="3066" t="s">
        <v>3593</v>
      </c>
      <c r="J10" s="3066" t="s">
        <v>3594</v>
      </c>
      <c r="K10" s="3066" t="s">
        <v>3560</v>
      </c>
      <c r="L10" s="3066" t="s">
        <v>3595</v>
      </c>
      <c r="M10" s="3066" t="s">
        <v>3596</v>
      </c>
      <c r="N10" s="3066">
        <v>900</v>
      </c>
      <c r="O10" s="3066" t="s">
        <v>3597</v>
      </c>
      <c r="P10" s="3066" t="s">
        <v>3566</v>
      </c>
      <c r="Q10" s="3066">
        <v>3</v>
      </c>
      <c r="R10" s="3066">
        <v>78139</v>
      </c>
      <c r="S10" s="3066" t="s">
        <v>3567</v>
      </c>
      <c r="T10" s="3066">
        <v>24</v>
      </c>
      <c r="U10" s="3066">
        <v>21600</v>
      </c>
      <c r="V10" s="3066" t="s">
        <v>3560</v>
      </c>
      <c r="W10" s="3066" t="s">
        <v>3568</v>
      </c>
      <c r="X10" s="3066">
        <v>2.2999999999999998</v>
      </c>
      <c r="Y10" s="3066">
        <v>24840</v>
      </c>
      <c r="Z10" s="3066" t="s">
        <v>3568</v>
      </c>
      <c r="AA10" s="3066" t="s">
        <v>3560</v>
      </c>
      <c r="AB10" s="3066" t="s">
        <v>3575</v>
      </c>
      <c r="AC10" s="3066" t="s">
        <v>3575</v>
      </c>
      <c r="AD10" s="3066" t="s">
        <v>3575</v>
      </c>
      <c r="AE10" s="3066" t="s">
        <v>3560</v>
      </c>
      <c r="AF10" s="3067">
        <v>21600</v>
      </c>
      <c r="AG10" s="3066">
        <v>0</v>
      </c>
      <c r="AH10" s="3066">
        <v>2070</v>
      </c>
      <c r="AI10" s="3066">
        <v>0</v>
      </c>
      <c r="AJ10" s="3066">
        <v>12490.14</v>
      </c>
      <c r="AK10" s="3066">
        <v>0</v>
      </c>
      <c r="AL10" s="3066">
        <v>36160.14</v>
      </c>
      <c r="AM10" s="3066">
        <v>0</v>
      </c>
      <c r="AN10" s="3066" t="s">
        <v>3560</v>
      </c>
      <c r="AP10" s="3068">
        <f t="shared" si="0"/>
        <v>24</v>
      </c>
    </row>
    <row r="11" spans="2:42" ht="27" customHeight="1">
      <c r="B11" s="3066">
        <v>9</v>
      </c>
      <c r="C11" s="3066" t="s">
        <v>3121</v>
      </c>
      <c r="D11" s="3066" t="s">
        <v>3560</v>
      </c>
      <c r="E11" s="3136" t="s">
        <v>7085</v>
      </c>
      <c r="F11" s="3066" t="s">
        <v>3559</v>
      </c>
      <c r="G11" s="3066" t="s">
        <v>1373</v>
      </c>
      <c r="H11" s="3066" t="s">
        <v>3560</v>
      </c>
      <c r="I11" s="3066" t="s">
        <v>3598</v>
      </c>
      <c r="J11" s="3066" t="s">
        <v>3599</v>
      </c>
      <c r="K11" s="3066" t="s">
        <v>3560</v>
      </c>
      <c r="L11" s="3066" t="s">
        <v>3600</v>
      </c>
      <c r="M11" s="3066" t="s">
        <v>3601</v>
      </c>
      <c r="N11" s="3066">
        <v>959</v>
      </c>
      <c r="O11" s="3066" t="s">
        <v>3602</v>
      </c>
      <c r="P11" s="3066" t="s">
        <v>3566</v>
      </c>
      <c r="Q11" s="3066">
        <v>3</v>
      </c>
      <c r="R11" s="3066">
        <v>82794</v>
      </c>
      <c r="S11" s="3066" t="s">
        <v>3567</v>
      </c>
      <c r="T11" s="3066">
        <v>24</v>
      </c>
      <c r="U11" s="3066">
        <v>23016</v>
      </c>
      <c r="V11" s="3066" t="s">
        <v>3560</v>
      </c>
      <c r="W11" s="3066" t="s">
        <v>3568</v>
      </c>
      <c r="X11" s="3066">
        <v>2.2999999999999998</v>
      </c>
      <c r="Y11" s="3066">
        <v>26468.400000000001</v>
      </c>
      <c r="Z11" s="3066" t="s">
        <v>3568</v>
      </c>
      <c r="AA11" s="3066" t="s">
        <v>3560</v>
      </c>
      <c r="AB11" s="3066" t="s">
        <v>3603</v>
      </c>
      <c r="AC11" s="3066" t="s">
        <v>3603</v>
      </c>
      <c r="AD11" s="3066" t="s">
        <v>3603</v>
      </c>
      <c r="AE11" s="3066" t="s">
        <v>3560</v>
      </c>
      <c r="AF11" s="3067">
        <v>23016</v>
      </c>
      <c r="AG11" s="3066">
        <v>0</v>
      </c>
      <c r="AH11" s="3066">
        <v>2205.6999999999998</v>
      </c>
      <c r="AI11" s="3066">
        <v>0</v>
      </c>
      <c r="AJ11" s="3066">
        <v>7588.48</v>
      </c>
      <c r="AK11" s="3066">
        <v>0</v>
      </c>
      <c r="AL11" s="3066">
        <v>32810.18</v>
      </c>
      <c r="AM11" s="3066">
        <v>0</v>
      </c>
      <c r="AN11" s="3066" t="s">
        <v>3560</v>
      </c>
      <c r="AP11" s="3068">
        <f t="shared" si="0"/>
        <v>24</v>
      </c>
    </row>
    <row r="12" spans="2:42" ht="27" customHeight="1">
      <c r="B12" s="3066">
        <v>10</v>
      </c>
      <c r="C12" s="3066" t="s">
        <v>3121</v>
      </c>
      <c r="D12" s="3066" t="s">
        <v>3560</v>
      </c>
      <c r="E12" s="3136" t="s">
        <v>7086</v>
      </c>
      <c r="F12" s="3066" t="s">
        <v>3559</v>
      </c>
      <c r="G12" s="3066" t="s">
        <v>1373</v>
      </c>
      <c r="H12" s="3066" t="s">
        <v>3560</v>
      </c>
      <c r="I12" s="3066" t="s">
        <v>3604</v>
      </c>
      <c r="J12" s="3066" t="s">
        <v>3605</v>
      </c>
      <c r="K12" s="3066" t="s">
        <v>3560</v>
      </c>
      <c r="L12" s="3066" t="s">
        <v>3606</v>
      </c>
      <c r="M12" s="3066" t="s">
        <v>3607</v>
      </c>
      <c r="N12" s="3066">
        <v>571</v>
      </c>
      <c r="O12" s="3066" t="s">
        <v>3608</v>
      </c>
      <c r="P12" s="3066" t="s">
        <v>3566</v>
      </c>
      <c r="Q12" s="3066">
        <v>1</v>
      </c>
      <c r="R12" s="3066">
        <v>48820.5</v>
      </c>
      <c r="S12" s="3066" t="s">
        <v>3567</v>
      </c>
      <c r="T12" s="3066">
        <v>26</v>
      </c>
      <c r="U12" s="3066">
        <v>14846</v>
      </c>
      <c r="V12" s="3066" t="s">
        <v>3560</v>
      </c>
      <c r="W12" s="3066" t="s">
        <v>3568</v>
      </c>
      <c r="X12" s="3066">
        <v>2.5</v>
      </c>
      <c r="Y12" s="3066">
        <v>17130</v>
      </c>
      <c r="Z12" s="3066" t="s">
        <v>3568</v>
      </c>
      <c r="AA12" s="3066" t="s">
        <v>3560</v>
      </c>
      <c r="AB12" s="3066" t="s">
        <v>3609</v>
      </c>
      <c r="AC12" s="3066" t="s">
        <v>3609</v>
      </c>
      <c r="AD12" s="3066" t="s">
        <v>3609</v>
      </c>
      <c r="AE12" s="3066" t="s">
        <v>3560</v>
      </c>
      <c r="AF12" s="3067">
        <v>14846</v>
      </c>
      <c r="AG12" s="3066">
        <v>14846</v>
      </c>
      <c r="AH12" s="3066">
        <v>1427.5</v>
      </c>
      <c r="AI12" s="3066">
        <v>1427.5</v>
      </c>
      <c r="AJ12" s="3066">
        <v>8699.57</v>
      </c>
      <c r="AK12" s="3066">
        <v>8699.57</v>
      </c>
      <c r="AL12" s="3066">
        <v>24973.07</v>
      </c>
      <c r="AM12" s="3066">
        <v>24973.07</v>
      </c>
      <c r="AN12" s="3066" t="s">
        <v>3560</v>
      </c>
      <c r="AP12" s="3068">
        <f t="shared" si="0"/>
        <v>26</v>
      </c>
    </row>
    <row r="13" spans="2:42" ht="27" customHeight="1">
      <c r="B13" s="3066">
        <v>11</v>
      </c>
      <c r="C13" s="3066" t="s">
        <v>3121</v>
      </c>
      <c r="D13" s="3066" t="s">
        <v>3560</v>
      </c>
      <c r="E13" s="3136" t="s">
        <v>7087</v>
      </c>
      <c r="F13" s="3066" t="s">
        <v>3559</v>
      </c>
      <c r="G13" s="3066" t="s">
        <v>1373</v>
      </c>
      <c r="H13" s="3066" t="s">
        <v>3560</v>
      </c>
      <c r="I13" s="3066" t="s">
        <v>3610</v>
      </c>
      <c r="J13" s="3066" t="s">
        <v>3611</v>
      </c>
      <c r="K13" s="3066" t="s">
        <v>3560</v>
      </c>
      <c r="L13" s="3066" t="s">
        <v>3612</v>
      </c>
      <c r="M13" s="3066" t="s">
        <v>3613</v>
      </c>
      <c r="N13" s="3066">
        <v>145</v>
      </c>
      <c r="O13" s="3066" t="s">
        <v>3608</v>
      </c>
      <c r="P13" s="3066" t="s">
        <v>3566</v>
      </c>
      <c r="Q13" s="3066">
        <v>1</v>
      </c>
      <c r="R13" s="3066">
        <v>12399</v>
      </c>
      <c r="S13" s="3066" t="s">
        <v>3567</v>
      </c>
      <c r="T13" s="3066">
        <v>26</v>
      </c>
      <c r="U13" s="3066">
        <v>3770</v>
      </c>
      <c r="V13" s="3066" t="s">
        <v>3560</v>
      </c>
      <c r="W13" s="3066" t="s">
        <v>3568</v>
      </c>
      <c r="X13" s="3066">
        <v>2.5</v>
      </c>
      <c r="Y13" s="3066">
        <v>4350</v>
      </c>
      <c r="Z13" s="3066" t="s">
        <v>3568</v>
      </c>
      <c r="AA13" s="3066" t="s">
        <v>3560</v>
      </c>
      <c r="AB13" s="3066" t="s">
        <v>3609</v>
      </c>
      <c r="AC13" s="3066" t="s">
        <v>3609</v>
      </c>
      <c r="AD13" s="3066" t="s">
        <v>3609</v>
      </c>
      <c r="AE13" s="3066" t="s">
        <v>3560</v>
      </c>
      <c r="AF13" s="3067">
        <v>0</v>
      </c>
      <c r="AG13" s="3066">
        <v>0</v>
      </c>
      <c r="AH13" s="3066">
        <v>0</v>
      </c>
      <c r="AI13" s="3066">
        <v>0</v>
      </c>
      <c r="AJ13" s="3066">
        <v>458.98</v>
      </c>
      <c r="AK13" s="3066">
        <v>0</v>
      </c>
      <c r="AL13" s="3066">
        <v>458.98</v>
      </c>
      <c r="AM13" s="3066">
        <v>0</v>
      </c>
      <c r="AN13" s="3066" t="s">
        <v>3560</v>
      </c>
      <c r="AP13" s="3068">
        <f t="shared" si="0"/>
        <v>0</v>
      </c>
    </row>
    <row r="14" spans="2:42" ht="27" customHeight="1">
      <c r="B14" s="3066">
        <v>12</v>
      </c>
      <c r="C14" s="3066" t="s">
        <v>3121</v>
      </c>
      <c r="D14" s="3066" t="s">
        <v>3560</v>
      </c>
      <c r="E14" s="3066" t="s">
        <v>3614</v>
      </c>
      <c r="F14" s="3066" t="s">
        <v>3559</v>
      </c>
      <c r="G14" s="3066" t="s">
        <v>1373</v>
      </c>
      <c r="H14" s="3066" t="s">
        <v>3560</v>
      </c>
      <c r="I14" s="3066" t="s">
        <v>3615</v>
      </c>
      <c r="J14" s="3066" t="s">
        <v>3616</v>
      </c>
      <c r="K14" s="3066" t="s">
        <v>3560</v>
      </c>
      <c r="L14" s="3066" t="s">
        <v>3617</v>
      </c>
      <c r="M14" s="3066" t="s">
        <v>3618</v>
      </c>
      <c r="N14" s="3066">
        <v>1000</v>
      </c>
      <c r="O14" s="3066" t="s">
        <v>3619</v>
      </c>
      <c r="P14" s="3066" t="s">
        <v>3566</v>
      </c>
      <c r="Q14" s="3066">
        <v>1</v>
      </c>
      <c r="R14" s="3066">
        <v>154929</v>
      </c>
      <c r="S14" s="3066" t="s">
        <v>3567</v>
      </c>
      <c r="T14" s="3066">
        <v>22</v>
      </c>
      <c r="U14" s="3066">
        <v>22000</v>
      </c>
      <c r="V14" s="3066" t="s">
        <v>3560</v>
      </c>
      <c r="W14" s="3066" t="s">
        <v>3568</v>
      </c>
      <c r="X14" s="3066">
        <v>2.5</v>
      </c>
      <c r="Y14" s="3066">
        <v>30000</v>
      </c>
      <c r="Z14" s="3066" t="s">
        <v>3568</v>
      </c>
      <c r="AA14" s="3066" t="s">
        <v>3560</v>
      </c>
      <c r="AB14" s="3066" t="s">
        <v>3584</v>
      </c>
      <c r="AC14" s="3066" t="s">
        <v>3584</v>
      </c>
      <c r="AD14" s="3066" t="s">
        <v>3584</v>
      </c>
      <c r="AE14" s="3066" t="s">
        <v>3560</v>
      </c>
      <c r="AF14" s="3067">
        <v>22000</v>
      </c>
      <c r="AG14" s="3066">
        <v>0</v>
      </c>
      <c r="AH14" s="3066">
        <v>2500</v>
      </c>
      <c r="AI14" s="3066">
        <v>0</v>
      </c>
      <c r="AJ14" s="3066">
        <v>10185.950000000001</v>
      </c>
      <c r="AK14" s="3066">
        <v>0</v>
      </c>
      <c r="AL14" s="3066">
        <v>34685.949999999997</v>
      </c>
      <c r="AM14" s="3066">
        <v>0</v>
      </c>
      <c r="AN14" s="3066" t="s">
        <v>3560</v>
      </c>
      <c r="AP14" s="3068">
        <f t="shared" si="0"/>
        <v>22</v>
      </c>
    </row>
    <row r="15" spans="2:42" ht="27" customHeight="1">
      <c r="B15" s="3066">
        <v>13</v>
      </c>
      <c r="C15" s="3066" t="s">
        <v>3121</v>
      </c>
      <c r="D15" s="3066" t="s">
        <v>3560</v>
      </c>
      <c r="E15" s="3066" t="s">
        <v>3620</v>
      </c>
      <c r="F15" s="3066" t="s">
        <v>3559</v>
      </c>
      <c r="G15" s="3066" t="s">
        <v>1373</v>
      </c>
      <c r="H15" s="3066" t="s">
        <v>3560</v>
      </c>
      <c r="I15" s="3066" t="s">
        <v>3621</v>
      </c>
      <c r="J15" s="3066" t="s">
        <v>3616</v>
      </c>
      <c r="K15" s="3066" t="s">
        <v>3560</v>
      </c>
      <c r="L15" s="3066" t="s">
        <v>3617</v>
      </c>
      <c r="M15" s="3066" t="s">
        <v>3622</v>
      </c>
      <c r="N15" s="3066">
        <v>626</v>
      </c>
      <c r="O15" s="3066" t="s">
        <v>3619</v>
      </c>
      <c r="P15" s="3066" t="s">
        <v>3566</v>
      </c>
      <c r="Q15" s="3066">
        <v>1</v>
      </c>
      <c r="R15" s="3066">
        <v>50143</v>
      </c>
      <c r="S15" s="3066" t="s">
        <v>3567</v>
      </c>
      <c r="T15" s="3066">
        <v>22</v>
      </c>
      <c r="U15" s="3066">
        <v>13772</v>
      </c>
      <c r="V15" s="3066" t="s">
        <v>3560</v>
      </c>
      <c r="W15" s="3066" t="s">
        <v>3568</v>
      </c>
      <c r="X15" s="3066">
        <v>2.5</v>
      </c>
      <c r="Y15" s="3066">
        <v>18780</v>
      </c>
      <c r="Z15" s="3066" t="s">
        <v>3568</v>
      </c>
      <c r="AA15" s="3066" t="s">
        <v>3560</v>
      </c>
      <c r="AB15" s="3066" t="s">
        <v>3584</v>
      </c>
      <c r="AC15" s="3066" t="s">
        <v>3584</v>
      </c>
      <c r="AD15" s="3066" t="s">
        <v>3584</v>
      </c>
      <c r="AE15" s="3066" t="s">
        <v>3560</v>
      </c>
      <c r="AF15" s="3067">
        <v>13772</v>
      </c>
      <c r="AG15" s="3066">
        <v>0</v>
      </c>
      <c r="AH15" s="3066">
        <v>1565</v>
      </c>
      <c r="AI15" s="3066">
        <v>0</v>
      </c>
      <c r="AJ15" s="3066">
        <v>0</v>
      </c>
      <c r="AK15" s="3066">
        <v>0</v>
      </c>
      <c r="AL15" s="3066">
        <v>15337</v>
      </c>
      <c r="AM15" s="3066">
        <v>0</v>
      </c>
      <c r="AN15" s="3066" t="s">
        <v>3560</v>
      </c>
      <c r="AP15" s="3068">
        <f t="shared" si="0"/>
        <v>22</v>
      </c>
    </row>
    <row r="16" spans="2:42" ht="27" customHeight="1">
      <c r="B16" s="3066">
        <v>14</v>
      </c>
      <c r="C16" s="3066" t="s">
        <v>3121</v>
      </c>
      <c r="D16" s="3066" t="s">
        <v>3560</v>
      </c>
      <c r="E16" s="3066" t="s">
        <v>3623</v>
      </c>
      <c r="F16" s="3066" t="s">
        <v>3559</v>
      </c>
      <c r="G16" s="3066" t="s">
        <v>1373</v>
      </c>
      <c r="H16" s="3066" t="s">
        <v>3560</v>
      </c>
      <c r="I16" s="3066" t="s">
        <v>3624</v>
      </c>
      <c r="J16" s="3066" t="s">
        <v>3625</v>
      </c>
      <c r="K16" s="3066" t="s">
        <v>3560</v>
      </c>
      <c r="L16" s="3066" t="s">
        <v>3626</v>
      </c>
      <c r="M16" s="3066" t="s">
        <v>3627</v>
      </c>
      <c r="N16" s="3066">
        <v>965</v>
      </c>
      <c r="O16" s="3066" t="s">
        <v>3628</v>
      </c>
      <c r="P16" s="3066" t="s">
        <v>3566</v>
      </c>
      <c r="Q16" s="3066">
        <v>3</v>
      </c>
      <c r="R16" s="3066">
        <v>118434</v>
      </c>
      <c r="S16" s="3066" t="s">
        <v>3567</v>
      </c>
      <c r="T16" s="3066">
        <v>21</v>
      </c>
      <c r="U16" s="3066">
        <v>20265</v>
      </c>
      <c r="V16" s="3066" t="s">
        <v>3560</v>
      </c>
      <c r="W16" s="3066" t="s">
        <v>3568</v>
      </c>
      <c r="X16" s="3066">
        <v>2.2999999999999998</v>
      </c>
      <c r="Y16" s="3066">
        <v>26634</v>
      </c>
      <c r="Z16" s="3066" t="s">
        <v>3568</v>
      </c>
      <c r="AA16" s="3066" t="s">
        <v>3560</v>
      </c>
      <c r="AB16" s="3066" t="s">
        <v>3629</v>
      </c>
      <c r="AC16" s="3066" t="s">
        <v>3629</v>
      </c>
      <c r="AD16" s="3066" t="s">
        <v>3629</v>
      </c>
      <c r="AE16" s="3066" t="s">
        <v>3560</v>
      </c>
      <c r="AF16" s="3067">
        <v>21230</v>
      </c>
      <c r="AG16" s="3066">
        <v>21230</v>
      </c>
      <c r="AH16" s="3066">
        <v>2219.5</v>
      </c>
      <c r="AI16" s="3066">
        <v>2219.5</v>
      </c>
      <c r="AJ16" s="3066">
        <v>1314.74</v>
      </c>
      <c r="AK16" s="3066">
        <v>1314.74</v>
      </c>
      <c r="AL16" s="3066">
        <v>24764.240000000002</v>
      </c>
      <c r="AM16" s="3066">
        <v>24764.240000000002</v>
      </c>
      <c r="AN16" s="3066" t="s">
        <v>3560</v>
      </c>
      <c r="AP16" s="3068">
        <f t="shared" si="0"/>
        <v>22</v>
      </c>
    </row>
    <row r="17" spans="2:42" ht="27" customHeight="1">
      <c r="B17" s="3066">
        <v>15</v>
      </c>
      <c r="C17" s="3066" t="s">
        <v>3630</v>
      </c>
      <c r="D17" s="3066" t="s">
        <v>3560</v>
      </c>
      <c r="E17" s="3066" t="s">
        <v>3631</v>
      </c>
      <c r="F17" s="3066" t="s">
        <v>3559</v>
      </c>
      <c r="G17" s="3066" t="s">
        <v>1373</v>
      </c>
      <c r="H17" s="3066" t="s">
        <v>3560</v>
      </c>
      <c r="I17" s="3066" t="s">
        <v>3632</v>
      </c>
      <c r="J17" s="3066" t="s">
        <v>3633</v>
      </c>
      <c r="K17" s="3066" t="s">
        <v>3560</v>
      </c>
      <c r="L17" s="3066" t="s">
        <v>3634</v>
      </c>
      <c r="M17" s="3066" t="s">
        <v>3635</v>
      </c>
      <c r="N17" s="3066">
        <v>1302.5</v>
      </c>
      <c r="O17" s="3066" t="s">
        <v>3590</v>
      </c>
      <c r="P17" s="3066" t="s">
        <v>3566</v>
      </c>
      <c r="Q17" s="3066">
        <v>0</v>
      </c>
      <c r="R17" s="3066">
        <v>16410</v>
      </c>
      <c r="S17" s="3066" t="s">
        <v>3567</v>
      </c>
      <c r="T17" s="3066">
        <v>34</v>
      </c>
      <c r="U17" s="3066">
        <v>44285</v>
      </c>
      <c r="V17" s="3066" t="s">
        <v>3560</v>
      </c>
      <c r="W17" s="3066" t="s">
        <v>3568</v>
      </c>
      <c r="X17" s="3066">
        <v>2</v>
      </c>
      <c r="Y17" s="3066">
        <v>31260</v>
      </c>
      <c r="Z17" s="3066" t="s">
        <v>3568</v>
      </c>
      <c r="AA17" s="3066" t="s">
        <v>3560</v>
      </c>
      <c r="AB17" s="3066" t="s">
        <v>3591</v>
      </c>
      <c r="AC17" s="3066" t="s">
        <v>3591</v>
      </c>
      <c r="AD17" s="3066" t="s">
        <v>3591</v>
      </c>
      <c r="AE17" s="3066" t="s">
        <v>3560</v>
      </c>
      <c r="AF17" s="3067">
        <v>44285</v>
      </c>
      <c r="AG17" s="3066">
        <v>44285</v>
      </c>
      <c r="AH17" s="3066">
        <v>2605</v>
      </c>
      <c r="AI17" s="3066">
        <v>2605</v>
      </c>
      <c r="AJ17" s="3066">
        <v>7009.24</v>
      </c>
      <c r="AK17" s="3066">
        <v>7009.24</v>
      </c>
      <c r="AL17" s="3066">
        <v>53899.24</v>
      </c>
      <c r="AM17" s="3066">
        <v>53899.24</v>
      </c>
      <c r="AN17" s="3066" t="s">
        <v>3560</v>
      </c>
      <c r="AP17" s="3068">
        <f t="shared" si="0"/>
        <v>34</v>
      </c>
    </row>
    <row r="18" spans="2:42" ht="27" customHeight="1">
      <c r="B18" s="3066">
        <v>16</v>
      </c>
      <c r="C18" s="3066" t="s">
        <v>3630</v>
      </c>
      <c r="D18" s="3066" t="s">
        <v>3560</v>
      </c>
      <c r="E18" s="3066" t="s">
        <v>3636</v>
      </c>
      <c r="F18" s="3066" t="s">
        <v>3559</v>
      </c>
      <c r="G18" s="3066" t="s">
        <v>1373</v>
      </c>
      <c r="H18" s="3066" t="s">
        <v>3560</v>
      </c>
      <c r="I18" s="3066" t="s">
        <v>3637</v>
      </c>
      <c r="J18" s="3066" t="s">
        <v>3638</v>
      </c>
      <c r="K18" s="3066" t="s">
        <v>3560</v>
      </c>
      <c r="L18" s="3066" t="s">
        <v>3639</v>
      </c>
      <c r="M18" s="3066" t="s">
        <v>3640</v>
      </c>
      <c r="N18" s="3066">
        <v>600</v>
      </c>
      <c r="O18" s="3066" t="s">
        <v>3641</v>
      </c>
      <c r="P18" s="3066" t="s">
        <v>3566</v>
      </c>
      <c r="Q18" s="3066">
        <v>2</v>
      </c>
      <c r="R18" s="3066">
        <v>182824</v>
      </c>
      <c r="S18" s="3066" t="s">
        <v>3567</v>
      </c>
      <c r="T18" s="3066">
        <v>34</v>
      </c>
      <c r="U18" s="3066">
        <v>20400</v>
      </c>
      <c r="V18" s="3066" t="s">
        <v>3560</v>
      </c>
      <c r="W18" s="3066" t="s">
        <v>3568</v>
      </c>
      <c r="X18" s="3066">
        <v>2</v>
      </c>
      <c r="Y18" s="3066">
        <v>14400</v>
      </c>
      <c r="Z18" s="3066" t="s">
        <v>3568</v>
      </c>
      <c r="AA18" s="3066" t="s">
        <v>3560</v>
      </c>
      <c r="AB18" s="3066" t="s">
        <v>3642</v>
      </c>
      <c r="AC18" s="3066" t="s">
        <v>3642</v>
      </c>
      <c r="AD18" s="3066" t="s">
        <v>3642</v>
      </c>
      <c r="AE18" s="3066" t="s">
        <v>3560</v>
      </c>
      <c r="AF18" s="3067">
        <v>20400</v>
      </c>
      <c r="AG18" s="3066">
        <v>0</v>
      </c>
      <c r="AH18" s="3066">
        <v>1200</v>
      </c>
      <c r="AI18" s="3066">
        <v>0</v>
      </c>
      <c r="AJ18" s="3066">
        <v>0</v>
      </c>
      <c r="AK18" s="3066">
        <v>0</v>
      </c>
      <c r="AL18" s="3066">
        <v>21600</v>
      </c>
      <c r="AM18" s="3066">
        <v>0</v>
      </c>
      <c r="AN18" s="3066" t="s">
        <v>3560</v>
      </c>
      <c r="AP18" s="3068">
        <f t="shared" si="0"/>
        <v>34</v>
      </c>
    </row>
    <row r="19" spans="2:42" ht="27" customHeight="1">
      <c r="B19" s="3066">
        <v>17</v>
      </c>
      <c r="C19" s="3066" t="s">
        <v>3630</v>
      </c>
      <c r="D19" s="3066" t="s">
        <v>3560</v>
      </c>
      <c r="E19" s="3066" t="s">
        <v>3643</v>
      </c>
      <c r="F19" s="3066" t="s">
        <v>3559</v>
      </c>
      <c r="G19" s="3066" t="s">
        <v>1373</v>
      </c>
      <c r="H19" s="3066" t="s">
        <v>3560</v>
      </c>
      <c r="I19" s="3066" t="s">
        <v>3644</v>
      </c>
      <c r="J19" s="3066" t="s">
        <v>3638</v>
      </c>
      <c r="K19" s="3066" t="s">
        <v>3560</v>
      </c>
      <c r="L19" s="3066" t="s">
        <v>3639</v>
      </c>
      <c r="M19" s="3066" t="s">
        <v>3645</v>
      </c>
      <c r="N19" s="3066">
        <v>502.5</v>
      </c>
      <c r="O19" s="3066" t="s">
        <v>3641</v>
      </c>
      <c r="P19" s="3066" t="s">
        <v>3566</v>
      </c>
      <c r="Q19" s="3066">
        <v>2</v>
      </c>
      <c r="R19" s="3066">
        <v>54270</v>
      </c>
      <c r="S19" s="3066" t="s">
        <v>3567</v>
      </c>
      <c r="T19" s="3066">
        <v>34</v>
      </c>
      <c r="U19" s="3066">
        <v>17085</v>
      </c>
      <c r="V19" s="3066" t="s">
        <v>3560</v>
      </c>
      <c r="W19" s="3066" t="s">
        <v>3568</v>
      </c>
      <c r="X19" s="3066">
        <v>2</v>
      </c>
      <c r="Y19" s="3066">
        <v>12060</v>
      </c>
      <c r="Z19" s="3066" t="s">
        <v>3568</v>
      </c>
      <c r="AA19" s="3066" t="s">
        <v>3560</v>
      </c>
      <c r="AB19" s="3066" t="s">
        <v>3642</v>
      </c>
      <c r="AC19" s="3066" t="s">
        <v>3642</v>
      </c>
      <c r="AD19" s="3066" t="s">
        <v>3642</v>
      </c>
      <c r="AE19" s="3066" t="s">
        <v>3560</v>
      </c>
      <c r="AF19" s="3067">
        <v>17085</v>
      </c>
      <c r="AG19" s="3066">
        <v>0</v>
      </c>
      <c r="AH19" s="3066">
        <v>1005</v>
      </c>
      <c r="AI19" s="3066">
        <v>0</v>
      </c>
      <c r="AJ19" s="3066">
        <v>845.32</v>
      </c>
      <c r="AK19" s="3066">
        <v>0</v>
      </c>
      <c r="AL19" s="3066">
        <v>18935.32</v>
      </c>
      <c r="AM19" s="3066">
        <v>0</v>
      </c>
      <c r="AN19" s="3066" t="s">
        <v>3560</v>
      </c>
      <c r="AP19" s="3068">
        <f t="shared" si="0"/>
        <v>34</v>
      </c>
    </row>
    <row r="20" spans="2:42" ht="27" customHeight="1">
      <c r="B20" s="3066">
        <v>18</v>
      </c>
      <c r="C20" s="3066" t="s">
        <v>3630</v>
      </c>
      <c r="D20" s="3066" t="s">
        <v>3560</v>
      </c>
      <c r="E20" s="3066" t="s">
        <v>3646</v>
      </c>
      <c r="F20" s="3066" t="s">
        <v>3559</v>
      </c>
      <c r="G20" s="3066" t="s">
        <v>1373</v>
      </c>
      <c r="H20" s="3066" t="s">
        <v>3560</v>
      </c>
      <c r="I20" s="3066" t="s">
        <v>3647</v>
      </c>
      <c r="J20" s="3066" t="s">
        <v>3638</v>
      </c>
      <c r="K20" s="3066" t="s">
        <v>3560</v>
      </c>
      <c r="L20" s="3066" t="s">
        <v>3639</v>
      </c>
      <c r="M20" s="3066" t="s">
        <v>3648</v>
      </c>
      <c r="N20" s="3066">
        <v>200</v>
      </c>
      <c r="O20" s="3066" t="s">
        <v>3641</v>
      </c>
      <c r="P20" s="3066" t="s">
        <v>3566</v>
      </c>
      <c r="Q20" s="3066">
        <v>2</v>
      </c>
      <c r="R20" s="3066">
        <v>21600</v>
      </c>
      <c r="S20" s="3066" t="s">
        <v>3567</v>
      </c>
      <c r="T20" s="3066">
        <v>34</v>
      </c>
      <c r="U20" s="3066">
        <v>6800</v>
      </c>
      <c r="V20" s="3066" t="s">
        <v>3560</v>
      </c>
      <c r="W20" s="3066" t="s">
        <v>3568</v>
      </c>
      <c r="X20" s="3066">
        <v>2</v>
      </c>
      <c r="Y20" s="3066">
        <v>4800</v>
      </c>
      <c r="Z20" s="3066" t="s">
        <v>3568</v>
      </c>
      <c r="AA20" s="3066" t="s">
        <v>3560</v>
      </c>
      <c r="AB20" s="3066" t="s">
        <v>3642</v>
      </c>
      <c r="AC20" s="3066" t="s">
        <v>3642</v>
      </c>
      <c r="AD20" s="3066" t="s">
        <v>3642</v>
      </c>
      <c r="AE20" s="3066" t="s">
        <v>3560</v>
      </c>
      <c r="AF20" s="3067">
        <v>6800</v>
      </c>
      <c r="AG20" s="3066">
        <v>0</v>
      </c>
      <c r="AH20" s="3066">
        <v>400</v>
      </c>
      <c r="AI20" s="3066">
        <v>0</v>
      </c>
      <c r="AJ20" s="3066">
        <v>0</v>
      </c>
      <c r="AK20" s="3066">
        <v>0</v>
      </c>
      <c r="AL20" s="3066">
        <v>7200</v>
      </c>
      <c r="AM20" s="3066">
        <v>0</v>
      </c>
      <c r="AN20" s="3066" t="s">
        <v>3560</v>
      </c>
      <c r="AP20" s="3068">
        <f t="shared" si="0"/>
        <v>34</v>
      </c>
    </row>
    <row r="21" spans="2:42" ht="27" customHeight="1">
      <c r="B21" s="3066">
        <v>19</v>
      </c>
      <c r="C21" s="3066" t="s">
        <v>3630</v>
      </c>
      <c r="D21" s="3066" t="s">
        <v>3560</v>
      </c>
      <c r="E21" s="3066" t="s">
        <v>3649</v>
      </c>
      <c r="F21" s="3066" t="s">
        <v>3559</v>
      </c>
      <c r="G21" s="3066" t="s">
        <v>1373</v>
      </c>
      <c r="H21" s="3066" t="s">
        <v>3560</v>
      </c>
      <c r="I21" s="3066" t="s">
        <v>3650</v>
      </c>
      <c r="J21" s="3066" t="s">
        <v>3651</v>
      </c>
      <c r="K21" s="3066" t="s">
        <v>3560</v>
      </c>
      <c r="L21" s="3066" t="s">
        <v>3652</v>
      </c>
      <c r="M21" s="3066" t="s">
        <v>3653</v>
      </c>
      <c r="N21" s="3066">
        <v>827</v>
      </c>
      <c r="O21" s="3066" t="s">
        <v>3654</v>
      </c>
      <c r="P21" s="3066" t="s">
        <v>3566</v>
      </c>
      <c r="Q21" s="3066">
        <v>4</v>
      </c>
      <c r="R21" s="3066">
        <v>101525</v>
      </c>
      <c r="S21" s="3066" t="s">
        <v>3567</v>
      </c>
      <c r="T21" s="3066">
        <v>33</v>
      </c>
      <c r="U21" s="3066">
        <v>27291</v>
      </c>
      <c r="V21" s="3066" t="s">
        <v>3560</v>
      </c>
      <c r="W21" s="3066" t="s">
        <v>3568</v>
      </c>
      <c r="X21" s="3066">
        <v>2.2999999999999998</v>
      </c>
      <c r="Y21" s="3066">
        <v>22825.200000000001</v>
      </c>
      <c r="Z21" s="3066" t="s">
        <v>3568</v>
      </c>
      <c r="AA21" s="3066" t="s">
        <v>3560</v>
      </c>
      <c r="AB21" s="3066" t="s">
        <v>3655</v>
      </c>
      <c r="AC21" s="3066" t="s">
        <v>3655</v>
      </c>
      <c r="AD21" s="3066" t="s">
        <v>3655</v>
      </c>
      <c r="AE21" s="3066" t="s">
        <v>3560</v>
      </c>
      <c r="AF21" s="3067">
        <v>27291</v>
      </c>
      <c r="AG21" s="3066">
        <v>0</v>
      </c>
      <c r="AH21" s="3066">
        <v>1902.1</v>
      </c>
      <c r="AI21" s="3066">
        <v>0</v>
      </c>
      <c r="AJ21" s="3066">
        <v>4331.54</v>
      </c>
      <c r="AK21" s="3066">
        <v>0</v>
      </c>
      <c r="AL21" s="3066">
        <v>33524.639999999999</v>
      </c>
      <c r="AM21" s="3066">
        <v>0</v>
      </c>
      <c r="AN21" s="3066" t="s">
        <v>3560</v>
      </c>
      <c r="AP21" s="3068">
        <f t="shared" si="0"/>
        <v>33</v>
      </c>
    </row>
    <row r="22" spans="2:42" ht="27" customHeight="1">
      <c r="B22" s="3066">
        <v>20</v>
      </c>
      <c r="C22" s="3066" t="s">
        <v>3630</v>
      </c>
      <c r="D22" s="3066" t="s">
        <v>3560</v>
      </c>
      <c r="E22" s="3066" t="s">
        <v>3656</v>
      </c>
      <c r="F22" s="3066" t="s">
        <v>3559</v>
      </c>
      <c r="G22" s="3066" t="s">
        <v>1373</v>
      </c>
      <c r="H22" s="3066" t="s">
        <v>3560</v>
      </c>
      <c r="I22" s="3066" t="s">
        <v>3657</v>
      </c>
      <c r="J22" s="3066" t="s">
        <v>3658</v>
      </c>
      <c r="K22" s="3066" t="s">
        <v>3560</v>
      </c>
      <c r="L22" s="3066" t="s">
        <v>3659</v>
      </c>
      <c r="M22" s="3066" t="s">
        <v>3660</v>
      </c>
      <c r="N22" s="3066">
        <v>1783</v>
      </c>
      <c r="O22" s="3066" t="s">
        <v>3654</v>
      </c>
      <c r="P22" s="3066" t="s">
        <v>3566</v>
      </c>
      <c r="Q22" s="3066">
        <v>4</v>
      </c>
      <c r="R22" s="3066">
        <v>140334</v>
      </c>
      <c r="S22" s="3066" t="s">
        <v>3567</v>
      </c>
      <c r="T22" s="3066">
        <v>23</v>
      </c>
      <c r="U22" s="3066">
        <v>41009</v>
      </c>
      <c r="V22" s="3066" t="s">
        <v>3560</v>
      </c>
      <c r="W22" s="3066" t="s">
        <v>3568</v>
      </c>
      <c r="X22" s="3066">
        <v>2.2999999999999998</v>
      </c>
      <c r="Y22" s="3066">
        <v>49210.8</v>
      </c>
      <c r="Z22" s="3066" t="s">
        <v>3568</v>
      </c>
      <c r="AA22" s="3066" t="s">
        <v>3560</v>
      </c>
      <c r="AB22" s="3066" t="s">
        <v>3655</v>
      </c>
      <c r="AC22" s="3066" t="s">
        <v>3655</v>
      </c>
      <c r="AD22" s="3066" t="s">
        <v>3655</v>
      </c>
      <c r="AE22" s="3066" t="s">
        <v>3560</v>
      </c>
      <c r="AF22" s="3067">
        <v>43059.45</v>
      </c>
      <c r="AG22" s="3066">
        <v>43059.45</v>
      </c>
      <c r="AH22" s="3066">
        <v>4100.8999999999996</v>
      </c>
      <c r="AI22" s="3066">
        <v>4100.8999999999996</v>
      </c>
      <c r="AJ22" s="3066">
        <v>4510.24</v>
      </c>
      <c r="AK22" s="3066">
        <v>4510.24</v>
      </c>
      <c r="AL22" s="3066">
        <v>51670.59</v>
      </c>
      <c r="AM22" s="3066">
        <v>51670.59</v>
      </c>
      <c r="AN22" s="3066" t="s">
        <v>3560</v>
      </c>
      <c r="AP22" s="3068">
        <f t="shared" si="0"/>
        <v>24.15</v>
      </c>
    </row>
    <row r="23" spans="2:42" ht="27" customHeight="1">
      <c r="B23" s="3066">
        <v>21</v>
      </c>
      <c r="C23" s="3066" t="s">
        <v>3630</v>
      </c>
      <c r="D23" s="3066" t="s">
        <v>3560</v>
      </c>
      <c r="E23" s="3066" t="s">
        <v>3661</v>
      </c>
      <c r="F23" s="3066" t="s">
        <v>3559</v>
      </c>
      <c r="G23" s="3066" t="s">
        <v>3560</v>
      </c>
      <c r="H23" s="3066" t="s">
        <v>3560</v>
      </c>
      <c r="I23" s="3066" t="s">
        <v>3662</v>
      </c>
      <c r="J23" s="3066" t="s">
        <v>3663</v>
      </c>
      <c r="K23" s="3066" t="s">
        <v>3560</v>
      </c>
      <c r="L23" s="3066" t="s">
        <v>3664</v>
      </c>
      <c r="M23" s="3066" t="s">
        <v>3665</v>
      </c>
      <c r="N23" s="3066">
        <v>800</v>
      </c>
      <c r="O23" s="3066" t="s">
        <v>3641</v>
      </c>
      <c r="P23" s="3066" t="s">
        <v>3566</v>
      </c>
      <c r="Q23" s="3066">
        <v>2</v>
      </c>
      <c r="R23" s="3066">
        <v>70800</v>
      </c>
      <c r="S23" s="3066" t="s">
        <v>3567</v>
      </c>
      <c r="T23" s="3066">
        <v>27</v>
      </c>
      <c r="U23" s="3066">
        <v>21600</v>
      </c>
      <c r="V23" s="3066" t="s">
        <v>3560</v>
      </c>
      <c r="W23" s="3066" t="s">
        <v>3568</v>
      </c>
      <c r="X23" s="3066">
        <v>2.5</v>
      </c>
      <c r="Y23" s="3066">
        <v>24000</v>
      </c>
      <c r="Z23" s="3066" t="s">
        <v>3568</v>
      </c>
      <c r="AA23" s="3066" t="s">
        <v>3560</v>
      </c>
      <c r="AB23" s="3066" t="s">
        <v>3642</v>
      </c>
      <c r="AC23" s="3066" t="s">
        <v>3642</v>
      </c>
      <c r="AD23" s="3066" t="s">
        <v>3642</v>
      </c>
      <c r="AE23" s="3066" t="s">
        <v>3560</v>
      </c>
      <c r="AF23" s="3067">
        <v>21600</v>
      </c>
      <c r="AG23" s="3066">
        <v>21600</v>
      </c>
      <c r="AH23" s="3066">
        <v>2000</v>
      </c>
      <c r="AI23" s="3066">
        <v>2000</v>
      </c>
      <c r="AJ23" s="3066">
        <v>3391.14</v>
      </c>
      <c r="AK23" s="3066">
        <v>3391.14</v>
      </c>
      <c r="AL23" s="3066">
        <v>26991.14</v>
      </c>
      <c r="AM23" s="3066">
        <v>26991.14</v>
      </c>
      <c r="AN23" s="3066" t="s">
        <v>3560</v>
      </c>
      <c r="AP23" s="3068">
        <f t="shared" si="0"/>
        <v>27</v>
      </c>
    </row>
    <row r="24" spans="2:42" ht="27" customHeight="1">
      <c r="B24" s="3066">
        <v>22</v>
      </c>
      <c r="C24" s="3066" t="s">
        <v>3630</v>
      </c>
      <c r="D24" s="3066" t="s">
        <v>3560</v>
      </c>
      <c r="E24" s="3066" t="s">
        <v>3666</v>
      </c>
      <c r="F24" s="3066" t="s">
        <v>3559</v>
      </c>
      <c r="G24" s="3066" t="s">
        <v>3560</v>
      </c>
      <c r="H24" s="3066" t="s">
        <v>3560</v>
      </c>
      <c r="I24" s="3066" t="s">
        <v>3667</v>
      </c>
      <c r="J24" s="3066" t="s">
        <v>3668</v>
      </c>
      <c r="K24" s="3066" t="s">
        <v>3560</v>
      </c>
      <c r="L24" s="3066" t="s">
        <v>3669</v>
      </c>
      <c r="M24" s="3066" t="s">
        <v>3670</v>
      </c>
      <c r="N24" s="3066">
        <v>500</v>
      </c>
      <c r="O24" s="3066" t="s">
        <v>3619</v>
      </c>
      <c r="P24" s="3066" t="s">
        <v>3566</v>
      </c>
      <c r="Q24" s="3066">
        <v>1</v>
      </c>
      <c r="R24" s="3066">
        <v>42750</v>
      </c>
      <c r="S24" s="3066" t="s">
        <v>3567</v>
      </c>
      <c r="T24" s="3066">
        <v>26</v>
      </c>
      <c r="U24" s="3066">
        <v>13000</v>
      </c>
      <c r="V24" s="3066" t="s">
        <v>3560</v>
      </c>
      <c r="W24" s="3066" t="s">
        <v>3568</v>
      </c>
      <c r="X24" s="3066">
        <v>2.5</v>
      </c>
      <c r="Y24" s="3066">
        <v>15000</v>
      </c>
      <c r="Z24" s="3066" t="s">
        <v>3568</v>
      </c>
      <c r="AA24" s="3066" t="s">
        <v>3560</v>
      </c>
      <c r="AB24" s="3066" t="s">
        <v>3584</v>
      </c>
      <c r="AC24" s="3066" t="s">
        <v>3584</v>
      </c>
      <c r="AD24" s="3066" t="s">
        <v>3584</v>
      </c>
      <c r="AE24" s="3066" t="s">
        <v>3560</v>
      </c>
      <c r="AF24" s="3067">
        <v>13000</v>
      </c>
      <c r="AG24" s="3066">
        <v>0</v>
      </c>
      <c r="AH24" s="3066">
        <v>1250</v>
      </c>
      <c r="AI24" s="3066">
        <v>0</v>
      </c>
      <c r="AJ24" s="3066">
        <v>3082.89</v>
      </c>
      <c r="AK24" s="3066">
        <v>0</v>
      </c>
      <c r="AL24" s="3066">
        <v>17332.89</v>
      </c>
      <c r="AM24" s="3066">
        <v>0</v>
      </c>
      <c r="AN24" s="3066" t="s">
        <v>3560</v>
      </c>
      <c r="AP24" s="3068">
        <f t="shared" si="0"/>
        <v>26</v>
      </c>
    </row>
    <row r="25" spans="2:42" ht="27" customHeight="1">
      <c r="B25" s="3066">
        <v>23</v>
      </c>
      <c r="C25" s="3066" t="s">
        <v>3630</v>
      </c>
      <c r="D25" s="3066" t="s">
        <v>3560</v>
      </c>
      <c r="E25" s="3066" t="s">
        <v>3671</v>
      </c>
      <c r="F25" s="3066" t="s">
        <v>3559</v>
      </c>
      <c r="G25" s="3066" t="s">
        <v>1373</v>
      </c>
      <c r="H25" s="3066" t="s">
        <v>3560</v>
      </c>
      <c r="I25" s="3066" t="s">
        <v>3672</v>
      </c>
      <c r="J25" s="3066" t="s">
        <v>3673</v>
      </c>
      <c r="K25" s="3066" t="s">
        <v>3560</v>
      </c>
      <c r="L25" s="3066" t="s">
        <v>3674</v>
      </c>
      <c r="M25" s="3066" t="s">
        <v>3675</v>
      </c>
      <c r="N25" s="3066">
        <v>530</v>
      </c>
      <c r="O25" s="3066" t="s">
        <v>3676</v>
      </c>
      <c r="P25" s="3066" t="s">
        <v>3566</v>
      </c>
      <c r="Q25" s="3066">
        <v>1</v>
      </c>
      <c r="R25" s="3066">
        <v>45315</v>
      </c>
      <c r="S25" s="3066" t="s">
        <v>3567</v>
      </c>
      <c r="T25" s="3066">
        <v>26</v>
      </c>
      <c r="U25" s="3066">
        <v>13780</v>
      </c>
      <c r="V25" s="3066" t="s">
        <v>3560</v>
      </c>
      <c r="W25" s="3066" t="s">
        <v>3568</v>
      </c>
      <c r="X25" s="3066">
        <v>2.5</v>
      </c>
      <c r="Y25" s="3066">
        <v>15900</v>
      </c>
      <c r="Z25" s="3066" t="s">
        <v>3568</v>
      </c>
      <c r="AA25" s="3066" t="s">
        <v>3560</v>
      </c>
      <c r="AB25" s="3066" t="s">
        <v>3677</v>
      </c>
      <c r="AC25" s="3066" t="s">
        <v>3677</v>
      </c>
      <c r="AD25" s="3066" t="s">
        <v>3677</v>
      </c>
      <c r="AE25" s="3066" t="s">
        <v>3560</v>
      </c>
      <c r="AF25" s="3067">
        <v>13780</v>
      </c>
      <c r="AG25" s="3066">
        <v>0</v>
      </c>
      <c r="AH25" s="3066">
        <v>1325</v>
      </c>
      <c r="AI25" s="3066">
        <v>0</v>
      </c>
      <c r="AJ25" s="3066">
        <v>2057.14</v>
      </c>
      <c r="AK25" s="3066">
        <v>0</v>
      </c>
      <c r="AL25" s="3066">
        <v>17162.14</v>
      </c>
      <c r="AM25" s="3066">
        <v>0</v>
      </c>
      <c r="AN25" s="3066" t="s">
        <v>3560</v>
      </c>
      <c r="AP25" s="3068">
        <f t="shared" si="0"/>
        <v>26</v>
      </c>
    </row>
    <row r="26" spans="2:42" ht="27" customHeight="1">
      <c r="B26" s="3066">
        <v>24</v>
      </c>
      <c r="C26" s="3066" t="s">
        <v>3630</v>
      </c>
      <c r="D26" s="3066" t="s">
        <v>3560</v>
      </c>
      <c r="E26" s="3066" t="s">
        <v>3678</v>
      </c>
      <c r="F26" s="3066" t="s">
        <v>3559</v>
      </c>
      <c r="G26" s="3066" t="s">
        <v>1373</v>
      </c>
      <c r="H26" s="3066" t="s">
        <v>3560</v>
      </c>
      <c r="I26" s="3066" t="s">
        <v>3679</v>
      </c>
      <c r="J26" s="3066" t="s">
        <v>3680</v>
      </c>
      <c r="K26" s="3066" t="s">
        <v>3560</v>
      </c>
      <c r="L26" s="3066" t="s">
        <v>3681</v>
      </c>
      <c r="M26" s="3066" t="s">
        <v>3682</v>
      </c>
      <c r="N26" s="3066">
        <v>1768</v>
      </c>
      <c r="O26" s="3066" t="s">
        <v>3641</v>
      </c>
      <c r="P26" s="3066" t="s">
        <v>3566</v>
      </c>
      <c r="Q26" s="3066">
        <v>2</v>
      </c>
      <c r="R26" s="3066">
        <v>158714.79999999999</v>
      </c>
      <c r="S26" s="3066" t="s">
        <v>3567</v>
      </c>
      <c r="T26" s="3066">
        <v>24</v>
      </c>
      <c r="U26" s="3066">
        <v>42432</v>
      </c>
      <c r="V26" s="3066" t="s">
        <v>3560</v>
      </c>
      <c r="W26" s="3066" t="s">
        <v>3568</v>
      </c>
      <c r="X26" s="3066">
        <v>2.5</v>
      </c>
      <c r="Y26" s="3066">
        <v>53040</v>
      </c>
      <c r="Z26" s="3066" t="s">
        <v>3568</v>
      </c>
      <c r="AA26" s="3066" t="s">
        <v>3560</v>
      </c>
      <c r="AB26" s="3066" t="s">
        <v>3642</v>
      </c>
      <c r="AC26" s="3066" t="s">
        <v>3642</v>
      </c>
      <c r="AD26" s="3066" t="s">
        <v>3642</v>
      </c>
      <c r="AE26" s="3066" t="s">
        <v>3560</v>
      </c>
      <c r="AF26" s="3067">
        <v>42432</v>
      </c>
      <c r="AG26" s="3066">
        <v>42432</v>
      </c>
      <c r="AH26" s="3066">
        <v>4420</v>
      </c>
      <c r="AI26" s="3066">
        <v>4420</v>
      </c>
      <c r="AJ26" s="3066">
        <v>4391.63</v>
      </c>
      <c r="AK26" s="3066">
        <v>4391.63</v>
      </c>
      <c r="AL26" s="3066">
        <v>51243.63</v>
      </c>
      <c r="AM26" s="3066">
        <v>51243.63</v>
      </c>
      <c r="AN26" s="3066" t="s">
        <v>3560</v>
      </c>
      <c r="AP26" s="3068">
        <f t="shared" si="0"/>
        <v>24</v>
      </c>
    </row>
    <row r="27" spans="2:42" ht="27" customHeight="1">
      <c r="B27" s="3066">
        <v>25</v>
      </c>
      <c r="C27" s="3066" t="s">
        <v>3630</v>
      </c>
      <c r="D27" s="3066" t="s">
        <v>3560</v>
      </c>
      <c r="E27" s="3066" t="s">
        <v>3683</v>
      </c>
      <c r="F27" s="3066" t="s">
        <v>3559</v>
      </c>
      <c r="G27" s="3066" t="s">
        <v>1373</v>
      </c>
      <c r="H27" s="3066" t="s">
        <v>3560</v>
      </c>
      <c r="I27" s="3066" t="s">
        <v>3684</v>
      </c>
      <c r="J27" s="3066" t="s">
        <v>3685</v>
      </c>
      <c r="K27" s="3066" t="s">
        <v>3560</v>
      </c>
      <c r="L27" s="3066" t="s">
        <v>3686</v>
      </c>
      <c r="M27" s="3066" t="s">
        <v>3687</v>
      </c>
      <c r="N27" s="3066">
        <v>837</v>
      </c>
      <c r="O27" s="3066" t="s">
        <v>3688</v>
      </c>
      <c r="P27" s="3066" t="s">
        <v>3566</v>
      </c>
      <c r="Q27" s="3066">
        <v>3</v>
      </c>
      <c r="R27" s="3066">
        <v>62775</v>
      </c>
      <c r="S27" s="3066" t="s">
        <v>3567</v>
      </c>
      <c r="T27" s="3066">
        <v>22.7</v>
      </c>
      <c r="U27" s="3066">
        <v>18999.900000000001</v>
      </c>
      <c r="V27" s="3066" t="s">
        <v>3560</v>
      </c>
      <c r="W27" s="3066" t="s">
        <v>3568</v>
      </c>
      <c r="X27" s="3066">
        <v>2.2999999999999998</v>
      </c>
      <c r="Y27" s="3066">
        <v>23101.200000000001</v>
      </c>
      <c r="Z27" s="3066" t="s">
        <v>3568</v>
      </c>
      <c r="AA27" s="3066" t="s">
        <v>3560</v>
      </c>
      <c r="AB27" s="3066" t="s">
        <v>3655</v>
      </c>
      <c r="AC27" s="3066" t="s">
        <v>3655</v>
      </c>
      <c r="AD27" s="3066" t="s">
        <v>3655</v>
      </c>
      <c r="AE27" s="3066" t="s">
        <v>3560</v>
      </c>
      <c r="AF27" s="3067">
        <v>18999.900000000001</v>
      </c>
      <c r="AG27" s="3066">
        <v>18999.900000000001</v>
      </c>
      <c r="AH27" s="3066">
        <v>1925.1</v>
      </c>
      <c r="AI27" s="3066">
        <v>1925.1</v>
      </c>
      <c r="AJ27" s="3066">
        <v>3853.94</v>
      </c>
      <c r="AK27" s="3066">
        <v>3853.94</v>
      </c>
      <c r="AL27" s="3066">
        <v>24778.94</v>
      </c>
      <c r="AM27" s="3066">
        <v>24778.94</v>
      </c>
      <c r="AN27" s="3066" t="s">
        <v>3560</v>
      </c>
      <c r="AP27" s="3068">
        <f t="shared" si="0"/>
        <v>22.700000000000003</v>
      </c>
    </row>
    <row r="28" spans="2:42" ht="27" customHeight="1">
      <c r="B28" s="3066">
        <v>26</v>
      </c>
      <c r="C28" s="3066" t="s">
        <v>3630</v>
      </c>
      <c r="D28" s="3066" t="s">
        <v>3560</v>
      </c>
      <c r="E28" s="3066" t="s">
        <v>3689</v>
      </c>
      <c r="F28" s="3066" t="s">
        <v>3559</v>
      </c>
      <c r="G28" s="3066" t="s">
        <v>3560</v>
      </c>
      <c r="H28" s="3066" t="s">
        <v>3560</v>
      </c>
      <c r="I28" s="3066" t="s">
        <v>3632</v>
      </c>
      <c r="J28" s="3066" t="s">
        <v>3634</v>
      </c>
      <c r="K28" s="3066" t="s">
        <v>3560</v>
      </c>
      <c r="L28" s="3066" t="s">
        <v>3560</v>
      </c>
      <c r="M28" s="3066" t="s">
        <v>3690</v>
      </c>
      <c r="N28" s="3066">
        <v>810</v>
      </c>
      <c r="O28" s="3066" t="s">
        <v>3691</v>
      </c>
      <c r="P28" s="3066" t="s">
        <v>3566</v>
      </c>
      <c r="Q28" s="3066">
        <v>1</v>
      </c>
      <c r="R28" s="3066">
        <v>119070</v>
      </c>
      <c r="S28" s="3066" t="s">
        <v>3567</v>
      </c>
      <c r="T28" s="3066">
        <v>22</v>
      </c>
      <c r="U28" s="3066">
        <v>17820</v>
      </c>
      <c r="V28" s="3066" t="s">
        <v>3560</v>
      </c>
      <c r="W28" s="3066" t="s">
        <v>3568</v>
      </c>
      <c r="X28" s="3066">
        <v>2.5</v>
      </c>
      <c r="Y28" s="3066">
        <v>24300</v>
      </c>
      <c r="Z28" s="3066" t="s">
        <v>3568</v>
      </c>
      <c r="AA28" s="3066" t="s">
        <v>3560</v>
      </c>
      <c r="AB28" s="3066" t="s">
        <v>3692</v>
      </c>
      <c r="AC28" s="3066" t="s">
        <v>3692</v>
      </c>
      <c r="AD28" s="3066" t="s">
        <v>3692</v>
      </c>
      <c r="AE28" s="3066" t="s">
        <v>3560</v>
      </c>
      <c r="AF28" s="3067">
        <v>17820</v>
      </c>
      <c r="AG28" s="3066">
        <v>17820</v>
      </c>
      <c r="AH28" s="3066">
        <v>2025</v>
      </c>
      <c r="AI28" s="3066">
        <v>2025</v>
      </c>
      <c r="AJ28" s="3066">
        <v>9433.2199999999993</v>
      </c>
      <c r="AK28" s="3066">
        <v>9433.2199999999993</v>
      </c>
      <c r="AL28" s="3066">
        <v>29278.22</v>
      </c>
      <c r="AM28" s="3066">
        <v>29278.22</v>
      </c>
      <c r="AN28" s="3066" t="s">
        <v>3560</v>
      </c>
      <c r="AP28" s="3068">
        <f t="shared" si="0"/>
        <v>22</v>
      </c>
    </row>
    <row r="29" spans="2:42" ht="27" customHeight="1">
      <c r="B29" s="3066">
        <v>27</v>
      </c>
      <c r="C29" s="3066" t="s">
        <v>3630</v>
      </c>
      <c r="D29" s="3066" t="s">
        <v>3560</v>
      </c>
      <c r="E29" s="3066" t="s">
        <v>3693</v>
      </c>
      <c r="F29" s="3066" t="s">
        <v>3559</v>
      </c>
      <c r="G29" s="3066" t="s">
        <v>1373</v>
      </c>
      <c r="H29" s="3066" t="s">
        <v>3560</v>
      </c>
      <c r="I29" s="3066" t="s">
        <v>3694</v>
      </c>
      <c r="J29" s="3066" t="s">
        <v>3695</v>
      </c>
      <c r="K29" s="3066" t="s">
        <v>3560</v>
      </c>
      <c r="L29" s="3066" t="s">
        <v>3696</v>
      </c>
      <c r="M29" s="3066" t="s">
        <v>3697</v>
      </c>
      <c r="N29" s="3066">
        <v>1800</v>
      </c>
      <c r="O29" s="3066" t="s">
        <v>3698</v>
      </c>
      <c r="P29" s="3066" t="s">
        <v>3566</v>
      </c>
      <c r="Q29" s="3066">
        <v>2</v>
      </c>
      <c r="R29" s="3066">
        <v>133617</v>
      </c>
      <c r="S29" s="3066" t="s">
        <v>3567</v>
      </c>
      <c r="T29" s="3066">
        <v>21</v>
      </c>
      <c r="U29" s="3066">
        <v>37800</v>
      </c>
      <c r="V29" s="3066" t="s">
        <v>3560</v>
      </c>
      <c r="W29" s="3066" t="s">
        <v>3568</v>
      </c>
      <c r="X29" s="3066">
        <v>2.5</v>
      </c>
      <c r="Y29" s="3066">
        <v>54000</v>
      </c>
      <c r="Z29" s="3066" t="s">
        <v>3568</v>
      </c>
      <c r="AA29" s="3066" t="s">
        <v>3560</v>
      </c>
      <c r="AB29" s="3066" t="s">
        <v>3699</v>
      </c>
      <c r="AC29" s="3066" t="s">
        <v>3699</v>
      </c>
      <c r="AD29" s="3066" t="s">
        <v>3699</v>
      </c>
      <c r="AE29" s="3066" t="s">
        <v>3560</v>
      </c>
      <c r="AF29" s="3067">
        <v>39600</v>
      </c>
      <c r="AG29" s="3066">
        <v>39600</v>
      </c>
      <c r="AH29" s="3066">
        <v>4500</v>
      </c>
      <c r="AI29" s="3066">
        <v>4500</v>
      </c>
      <c r="AJ29" s="3066">
        <v>3319.39</v>
      </c>
      <c r="AK29" s="3066">
        <v>3319.39</v>
      </c>
      <c r="AL29" s="3066">
        <v>47419.39</v>
      </c>
      <c r="AM29" s="3066">
        <v>47419.39</v>
      </c>
      <c r="AN29" s="3066" t="s">
        <v>3560</v>
      </c>
      <c r="AP29" s="3068">
        <f t="shared" si="0"/>
        <v>22</v>
      </c>
    </row>
    <row r="30" spans="2:42" ht="27" customHeight="1">
      <c r="B30" s="3066">
        <v>28</v>
      </c>
      <c r="C30" s="3066" t="s">
        <v>3630</v>
      </c>
      <c r="D30" s="3066" t="s">
        <v>3560</v>
      </c>
      <c r="E30" s="3066" t="s">
        <v>3700</v>
      </c>
      <c r="F30" s="3066" t="s">
        <v>3559</v>
      </c>
      <c r="G30" s="3066" t="s">
        <v>1373</v>
      </c>
      <c r="H30" s="3066" t="s">
        <v>3560</v>
      </c>
      <c r="I30" s="3066" t="s">
        <v>3701</v>
      </c>
      <c r="J30" s="3066" t="s">
        <v>3702</v>
      </c>
      <c r="K30" s="3066" t="s">
        <v>3560</v>
      </c>
      <c r="L30" s="3066" t="s">
        <v>3703</v>
      </c>
      <c r="M30" s="3066" t="s">
        <v>3704</v>
      </c>
      <c r="N30" s="3066">
        <v>885</v>
      </c>
      <c r="O30" s="3066" t="s">
        <v>3608</v>
      </c>
      <c r="P30" s="3066" t="s">
        <v>3566</v>
      </c>
      <c r="Q30" s="3066">
        <v>1</v>
      </c>
      <c r="R30" s="3066">
        <v>78324.5</v>
      </c>
      <c r="S30" s="3066" t="s">
        <v>3567</v>
      </c>
      <c r="T30" s="3066">
        <v>22</v>
      </c>
      <c r="U30" s="3066">
        <v>19470</v>
      </c>
      <c r="V30" s="3066" t="s">
        <v>3560</v>
      </c>
      <c r="W30" s="3066" t="s">
        <v>3568</v>
      </c>
      <c r="X30" s="3066">
        <v>2.5</v>
      </c>
      <c r="Y30" s="3066">
        <v>26550</v>
      </c>
      <c r="Z30" s="3066" t="s">
        <v>3568</v>
      </c>
      <c r="AA30" s="3066" t="s">
        <v>3560</v>
      </c>
      <c r="AB30" s="3066" t="s">
        <v>3609</v>
      </c>
      <c r="AC30" s="3066" t="s">
        <v>3609</v>
      </c>
      <c r="AD30" s="3066" t="s">
        <v>3609</v>
      </c>
      <c r="AE30" s="3066" t="s">
        <v>3560</v>
      </c>
      <c r="AF30" s="3067">
        <v>19470</v>
      </c>
      <c r="AG30" s="3066">
        <v>0</v>
      </c>
      <c r="AH30" s="3066">
        <v>2212.5</v>
      </c>
      <c r="AI30" s="3066">
        <v>0</v>
      </c>
      <c r="AJ30" s="3066">
        <v>6771.87</v>
      </c>
      <c r="AK30" s="3066">
        <v>0</v>
      </c>
      <c r="AL30" s="3066">
        <v>28454.37</v>
      </c>
      <c r="AM30" s="3066">
        <v>0</v>
      </c>
      <c r="AN30" s="3066" t="s">
        <v>3560</v>
      </c>
      <c r="AP30" s="3068">
        <f t="shared" si="0"/>
        <v>22</v>
      </c>
    </row>
    <row r="31" spans="2:42" ht="27" customHeight="1">
      <c r="B31" s="3066">
        <v>29</v>
      </c>
      <c r="C31" s="3066" t="s">
        <v>3630</v>
      </c>
      <c r="D31" s="3066" t="s">
        <v>3560</v>
      </c>
      <c r="E31" s="3066" t="s">
        <v>3705</v>
      </c>
      <c r="F31" s="3066" t="s">
        <v>3559</v>
      </c>
      <c r="G31" s="3066" t="s">
        <v>1373</v>
      </c>
      <c r="H31" s="3066" t="s">
        <v>3560</v>
      </c>
      <c r="I31" s="3066" t="s">
        <v>3706</v>
      </c>
      <c r="J31" s="3066" t="s">
        <v>3707</v>
      </c>
      <c r="K31" s="3066" t="s">
        <v>3560</v>
      </c>
      <c r="L31" s="3066" t="s">
        <v>3708</v>
      </c>
      <c r="M31" s="3066" t="s">
        <v>3709</v>
      </c>
      <c r="N31" s="3066">
        <v>1210</v>
      </c>
      <c r="O31" s="3066" t="s">
        <v>3608</v>
      </c>
      <c r="P31" s="3066" t="s">
        <v>3566</v>
      </c>
      <c r="Q31" s="3066">
        <v>1</v>
      </c>
      <c r="R31" s="3066">
        <v>87423</v>
      </c>
      <c r="S31" s="3066" t="s">
        <v>3567</v>
      </c>
      <c r="T31" s="3066">
        <v>20</v>
      </c>
      <c r="U31" s="3066">
        <v>24200</v>
      </c>
      <c r="V31" s="3066" t="s">
        <v>3560</v>
      </c>
      <c r="W31" s="3066" t="s">
        <v>3568</v>
      </c>
      <c r="X31" s="3066">
        <v>2.5</v>
      </c>
      <c r="Y31" s="3066">
        <v>36300</v>
      </c>
      <c r="Z31" s="3066" t="s">
        <v>3568</v>
      </c>
      <c r="AA31" s="3066" t="s">
        <v>3560</v>
      </c>
      <c r="AB31" s="3066" t="s">
        <v>3609</v>
      </c>
      <c r="AC31" s="3066" t="s">
        <v>3609</v>
      </c>
      <c r="AD31" s="3066" t="s">
        <v>3609</v>
      </c>
      <c r="AE31" s="3066" t="s">
        <v>3560</v>
      </c>
      <c r="AF31" s="3067">
        <v>24200</v>
      </c>
      <c r="AG31" s="3066">
        <v>0</v>
      </c>
      <c r="AH31" s="3066">
        <v>3025</v>
      </c>
      <c r="AI31" s="3066">
        <v>0</v>
      </c>
      <c r="AJ31" s="3066">
        <v>6785.94</v>
      </c>
      <c r="AK31" s="3066">
        <v>0</v>
      </c>
      <c r="AL31" s="3066">
        <v>34010.94</v>
      </c>
      <c r="AM31" s="3066">
        <v>0</v>
      </c>
      <c r="AN31" s="3066" t="s">
        <v>3560</v>
      </c>
      <c r="AP31" s="3068">
        <f t="shared" si="0"/>
        <v>20</v>
      </c>
    </row>
    <row r="32" spans="2:42" ht="27" customHeight="1">
      <c r="B32" s="3066">
        <v>30</v>
      </c>
      <c r="C32" s="3066" t="s">
        <v>3710</v>
      </c>
      <c r="D32" s="3066" t="s">
        <v>3560</v>
      </c>
      <c r="E32" s="3066" t="s">
        <v>3711</v>
      </c>
      <c r="F32" s="3066" t="s">
        <v>3559</v>
      </c>
      <c r="G32" s="3066" t="s">
        <v>1373</v>
      </c>
      <c r="H32" s="3066" t="s">
        <v>3560</v>
      </c>
      <c r="I32" s="3066" t="s">
        <v>3712</v>
      </c>
      <c r="J32" s="3066" t="s">
        <v>3713</v>
      </c>
      <c r="K32" s="3066" t="s">
        <v>3560</v>
      </c>
      <c r="L32" s="3066" t="s">
        <v>3714</v>
      </c>
      <c r="M32" s="3066" t="s">
        <v>3715</v>
      </c>
      <c r="N32" s="3066">
        <v>1305</v>
      </c>
      <c r="O32" s="3066" t="s">
        <v>3716</v>
      </c>
      <c r="P32" s="3066" t="s">
        <v>3566</v>
      </c>
      <c r="Q32" s="3066">
        <v>3</v>
      </c>
      <c r="R32" s="3066">
        <v>799833</v>
      </c>
      <c r="S32" s="3066" t="s">
        <v>3567</v>
      </c>
      <c r="T32" s="3066">
        <v>34.200000000000003</v>
      </c>
      <c r="U32" s="3066">
        <v>44631</v>
      </c>
      <c r="V32" s="3066" t="s">
        <v>3560</v>
      </c>
      <c r="W32" s="3066" t="s">
        <v>3568</v>
      </c>
      <c r="X32" s="3066">
        <v>1.8</v>
      </c>
      <c r="Y32" s="3066">
        <v>28188</v>
      </c>
      <c r="Z32" s="3066" t="s">
        <v>3568</v>
      </c>
      <c r="AA32" s="3066" t="s">
        <v>3560</v>
      </c>
      <c r="AB32" s="3066" t="s">
        <v>3717</v>
      </c>
      <c r="AC32" s="3066" t="s">
        <v>3717</v>
      </c>
      <c r="AD32" s="3066" t="s">
        <v>3717</v>
      </c>
      <c r="AE32" s="3066" t="s">
        <v>3560</v>
      </c>
      <c r="AF32" s="3067">
        <v>49205.68</v>
      </c>
      <c r="AG32" s="3066">
        <v>0</v>
      </c>
      <c r="AH32" s="3066">
        <v>2349</v>
      </c>
      <c r="AI32" s="3066">
        <v>0</v>
      </c>
      <c r="AJ32" s="3066">
        <v>2760.48</v>
      </c>
      <c r="AK32" s="3066">
        <v>0</v>
      </c>
      <c r="AL32" s="3066">
        <v>54315.16</v>
      </c>
      <c r="AM32" s="3066">
        <v>0</v>
      </c>
      <c r="AN32" s="3066" t="s">
        <v>3560</v>
      </c>
      <c r="AP32" s="3068">
        <f t="shared" si="0"/>
        <v>37.705501915708815</v>
      </c>
    </row>
    <row r="33" spans="2:42" ht="27" customHeight="1">
      <c r="B33" s="3066">
        <v>31</v>
      </c>
      <c r="C33" s="3066" t="s">
        <v>3710</v>
      </c>
      <c r="D33" s="3066" t="s">
        <v>3560</v>
      </c>
      <c r="E33" s="3066" t="s">
        <v>3718</v>
      </c>
      <c r="F33" s="3066" t="s">
        <v>3559</v>
      </c>
      <c r="G33" s="3066" t="s">
        <v>3560</v>
      </c>
      <c r="H33" s="3066" t="s">
        <v>3560</v>
      </c>
      <c r="I33" s="3066" t="s">
        <v>3632</v>
      </c>
      <c r="J33" s="3066" t="s">
        <v>3634</v>
      </c>
      <c r="K33" s="3066" t="s">
        <v>3560</v>
      </c>
      <c r="L33" s="3066" t="s">
        <v>3560</v>
      </c>
      <c r="M33" s="3066" t="s">
        <v>3719</v>
      </c>
      <c r="N33" s="3066">
        <v>1305</v>
      </c>
      <c r="O33" s="3066" t="s">
        <v>3720</v>
      </c>
      <c r="P33" s="3066" t="s">
        <v>3566</v>
      </c>
      <c r="Q33" s="3066">
        <v>1</v>
      </c>
      <c r="R33" s="3066">
        <v>289710</v>
      </c>
      <c r="S33" s="3066" t="s">
        <v>3567</v>
      </c>
      <c r="T33" s="3066">
        <v>36</v>
      </c>
      <c r="U33" s="3066">
        <v>46980</v>
      </c>
      <c r="V33" s="3066" t="s">
        <v>3560</v>
      </c>
      <c r="W33" s="3066" t="s">
        <v>3568</v>
      </c>
      <c r="X33" s="3066">
        <v>2</v>
      </c>
      <c r="Y33" s="3066">
        <v>31320</v>
      </c>
      <c r="Z33" s="3066" t="s">
        <v>3568</v>
      </c>
      <c r="AA33" s="3066" t="s">
        <v>3560</v>
      </c>
      <c r="AB33" s="3066" t="s">
        <v>3692</v>
      </c>
      <c r="AC33" s="3066" t="s">
        <v>3692</v>
      </c>
      <c r="AD33" s="3066" t="s">
        <v>3692</v>
      </c>
      <c r="AE33" s="3066" t="s">
        <v>3560</v>
      </c>
      <c r="AF33" s="3067">
        <v>46980</v>
      </c>
      <c r="AG33" s="3066">
        <v>46980</v>
      </c>
      <c r="AH33" s="3066">
        <v>2610</v>
      </c>
      <c r="AI33" s="3066">
        <v>2610</v>
      </c>
      <c r="AJ33" s="3066">
        <v>6046.89</v>
      </c>
      <c r="AK33" s="3066">
        <v>6046.89</v>
      </c>
      <c r="AL33" s="3066">
        <v>55636.89</v>
      </c>
      <c r="AM33" s="3066">
        <v>55636.89</v>
      </c>
      <c r="AN33" s="3066" t="s">
        <v>3560</v>
      </c>
      <c r="AP33" s="3068">
        <f t="shared" si="0"/>
        <v>36</v>
      </c>
    </row>
    <row r="34" spans="2:42" ht="27" customHeight="1">
      <c r="B34" s="3066">
        <v>32</v>
      </c>
      <c r="C34" s="3066" t="s">
        <v>3710</v>
      </c>
      <c r="D34" s="3066" t="s">
        <v>3560</v>
      </c>
      <c r="E34" s="3066" t="s">
        <v>3721</v>
      </c>
      <c r="F34" s="3066" t="s">
        <v>3559</v>
      </c>
      <c r="G34" s="3066" t="s">
        <v>1373</v>
      </c>
      <c r="H34" s="3066" t="s">
        <v>3560</v>
      </c>
      <c r="I34" s="3066" t="s">
        <v>3722</v>
      </c>
      <c r="J34" s="3066" t="s">
        <v>3723</v>
      </c>
      <c r="K34" s="3066" t="s">
        <v>3560</v>
      </c>
      <c r="L34" s="3066" t="s">
        <v>3724</v>
      </c>
      <c r="M34" s="3066" t="s">
        <v>3725</v>
      </c>
      <c r="N34" s="3066">
        <v>2610</v>
      </c>
      <c r="O34" s="3066" t="s">
        <v>3619</v>
      </c>
      <c r="P34" s="3066" t="s">
        <v>3566</v>
      </c>
      <c r="Q34" s="3066">
        <v>1</v>
      </c>
      <c r="R34" s="3066">
        <v>354534</v>
      </c>
      <c r="S34" s="3066" t="s">
        <v>3567</v>
      </c>
      <c r="T34" s="3066">
        <v>30</v>
      </c>
      <c r="U34" s="3066">
        <v>78300</v>
      </c>
      <c r="V34" s="3066" t="s">
        <v>3560</v>
      </c>
      <c r="W34" s="3066" t="s">
        <v>3568</v>
      </c>
      <c r="X34" s="3066">
        <v>2.5</v>
      </c>
      <c r="Y34" s="3066">
        <v>78300</v>
      </c>
      <c r="Z34" s="3066" t="s">
        <v>3568</v>
      </c>
      <c r="AA34" s="3066" t="s">
        <v>3560</v>
      </c>
      <c r="AB34" s="3066" t="s">
        <v>3584</v>
      </c>
      <c r="AC34" s="3066" t="s">
        <v>3584</v>
      </c>
      <c r="AD34" s="3066" t="s">
        <v>3584</v>
      </c>
      <c r="AE34" s="3066" t="s">
        <v>3560</v>
      </c>
      <c r="AF34" s="3067">
        <v>78300</v>
      </c>
      <c r="AG34" s="3066">
        <v>78300</v>
      </c>
      <c r="AH34" s="3066">
        <v>6525</v>
      </c>
      <c r="AI34" s="3066">
        <v>6525</v>
      </c>
      <c r="AJ34" s="3066">
        <v>13293.38</v>
      </c>
      <c r="AK34" s="3066">
        <v>13293.38</v>
      </c>
      <c r="AL34" s="3066">
        <v>98118.38</v>
      </c>
      <c r="AM34" s="3066">
        <v>98118.38</v>
      </c>
      <c r="AN34" s="3066" t="s">
        <v>3560</v>
      </c>
      <c r="AP34" s="3068">
        <f t="shared" si="0"/>
        <v>30</v>
      </c>
    </row>
    <row r="35" spans="2:42" ht="27" customHeight="1">
      <c r="B35" s="3066">
        <v>33</v>
      </c>
      <c r="C35" s="3066" t="s">
        <v>3710</v>
      </c>
      <c r="D35" s="3066" t="s">
        <v>3560</v>
      </c>
      <c r="E35" s="3066" t="s">
        <v>3726</v>
      </c>
      <c r="F35" s="3066" t="s">
        <v>3559</v>
      </c>
      <c r="G35" s="3066" t="s">
        <v>1373</v>
      </c>
      <c r="H35" s="3066" t="s">
        <v>3560</v>
      </c>
      <c r="I35" s="3066" t="s">
        <v>3727</v>
      </c>
      <c r="J35" s="3066" t="s">
        <v>3728</v>
      </c>
      <c r="K35" s="3066" t="s">
        <v>3560</v>
      </c>
      <c r="L35" s="3066" t="s">
        <v>3729</v>
      </c>
      <c r="M35" s="3066" t="s">
        <v>3730</v>
      </c>
      <c r="N35" s="3066">
        <v>1305</v>
      </c>
      <c r="O35" s="3066" t="s">
        <v>3619</v>
      </c>
      <c r="P35" s="3066" t="s">
        <v>3566</v>
      </c>
      <c r="Q35" s="3066">
        <v>1</v>
      </c>
      <c r="R35" s="3066">
        <v>238815</v>
      </c>
      <c r="S35" s="3066" t="s">
        <v>3567</v>
      </c>
      <c r="T35" s="3066">
        <v>28</v>
      </c>
      <c r="U35" s="3066">
        <v>36540</v>
      </c>
      <c r="V35" s="3066" t="s">
        <v>3560</v>
      </c>
      <c r="W35" s="3066" t="s">
        <v>3568</v>
      </c>
      <c r="X35" s="3066">
        <v>2.5</v>
      </c>
      <c r="Y35" s="3066">
        <v>39150</v>
      </c>
      <c r="Z35" s="3066" t="s">
        <v>3568</v>
      </c>
      <c r="AA35" s="3066" t="s">
        <v>3560</v>
      </c>
      <c r="AB35" s="3066" t="s">
        <v>3584</v>
      </c>
      <c r="AC35" s="3066" t="s">
        <v>3584</v>
      </c>
      <c r="AD35" s="3066" t="s">
        <v>3584</v>
      </c>
      <c r="AE35" s="3066" t="s">
        <v>3560</v>
      </c>
      <c r="AF35" s="3067">
        <v>36540</v>
      </c>
      <c r="AG35" s="3066">
        <v>0</v>
      </c>
      <c r="AH35" s="3066">
        <v>3262.5</v>
      </c>
      <c r="AI35" s="3066">
        <v>0</v>
      </c>
      <c r="AJ35" s="3066">
        <v>9376.44</v>
      </c>
      <c r="AK35" s="3066">
        <v>0</v>
      </c>
      <c r="AL35" s="3066">
        <v>49178.94</v>
      </c>
      <c r="AM35" s="3066">
        <v>0</v>
      </c>
      <c r="AN35" s="3066" t="s">
        <v>3560</v>
      </c>
      <c r="AP35" s="3068">
        <f t="shared" si="0"/>
        <v>28</v>
      </c>
    </row>
    <row r="36" spans="2:42" ht="27" customHeight="1">
      <c r="B36" s="3066">
        <v>34</v>
      </c>
      <c r="C36" s="3066" t="s">
        <v>3710</v>
      </c>
      <c r="D36" s="3066" t="s">
        <v>3560</v>
      </c>
      <c r="E36" s="3066" t="s">
        <v>3731</v>
      </c>
      <c r="F36" s="3066" t="s">
        <v>3559</v>
      </c>
      <c r="G36" s="3066" t="s">
        <v>1373</v>
      </c>
      <c r="H36" s="3066" t="s">
        <v>3560</v>
      </c>
      <c r="I36" s="3066" t="s">
        <v>3732</v>
      </c>
      <c r="J36" s="3066" t="s">
        <v>3695</v>
      </c>
      <c r="K36" s="3066" t="s">
        <v>3560</v>
      </c>
      <c r="L36" s="3066" t="s">
        <v>3696</v>
      </c>
      <c r="M36" s="3066" t="s">
        <v>3733</v>
      </c>
      <c r="N36" s="3066">
        <v>652.5</v>
      </c>
      <c r="O36" s="3066" t="s">
        <v>3734</v>
      </c>
      <c r="P36" s="3066" t="s">
        <v>3566</v>
      </c>
      <c r="Q36" s="3066">
        <v>2</v>
      </c>
      <c r="R36" s="3066">
        <v>55789</v>
      </c>
      <c r="S36" s="3066" t="s">
        <v>3567</v>
      </c>
      <c r="T36" s="3066">
        <v>26</v>
      </c>
      <c r="U36" s="3066">
        <v>16965</v>
      </c>
      <c r="V36" s="3066" t="s">
        <v>3560</v>
      </c>
      <c r="W36" s="3066" t="s">
        <v>3568</v>
      </c>
      <c r="X36" s="3066">
        <v>2.5</v>
      </c>
      <c r="Y36" s="3066">
        <v>19575</v>
      </c>
      <c r="Z36" s="3066" t="s">
        <v>3568</v>
      </c>
      <c r="AA36" s="3066" t="s">
        <v>3560</v>
      </c>
      <c r="AB36" s="3066" t="s">
        <v>3735</v>
      </c>
      <c r="AC36" s="3066" t="s">
        <v>3735</v>
      </c>
      <c r="AD36" s="3066" t="s">
        <v>3735</v>
      </c>
      <c r="AE36" s="3066" t="s">
        <v>3560</v>
      </c>
      <c r="AF36" s="3067">
        <v>18270</v>
      </c>
      <c r="AG36" s="3066">
        <v>18270</v>
      </c>
      <c r="AH36" s="3066">
        <v>1631.25</v>
      </c>
      <c r="AI36" s="3066">
        <v>1631.25</v>
      </c>
      <c r="AJ36" s="3066">
        <v>3679.83</v>
      </c>
      <c r="AK36" s="3066">
        <v>3679.83</v>
      </c>
      <c r="AL36" s="3066">
        <v>23581.08</v>
      </c>
      <c r="AM36" s="3066">
        <v>23581.08</v>
      </c>
      <c r="AN36" s="3066" t="s">
        <v>3560</v>
      </c>
      <c r="AP36" s="3068">
        <f t="shared" si="0"/>
        <v>28</v>
      </c>
    </row>
    <row r="37" spans="2:42" ht="27" customHeight="1">
      <c r="B37" s="3066">
        <v>35</v>
      </c>
      <c r="C37" s="3066" t="s">
        <v>3710</v>
      </c>
      <c r="D37" s="3066" t="s">
        <v>3560</v>
      </c>
      <c r="E37" s="3066" t="s">
        <v>3736</v>
      </c>
      <c r="F37" s="3066" t="s">
        <v>3559</v>
      </c>
      <c r="G37" s="3066" t="s">
        <v>1373</v>
      </c>
      <c r="H37" s="3066" t="s">
        <v>3560</v>
      </c>
      <c r="I37" s="3066" t="s">
        <v>3737</v>
      </c>
      <c r="J37" s="3066" t="s">
        <v>3633</v>
      </c>
      <c r="K37" s="3066" t="s">
        <v>3560</v>
      </c>
      <c r="L37" s="3066" t="s">
        <v>3634</v>
      </c>
      <c r="M37" s="3066" t="s">
        <v>3738</v>
      </c>
      <c r="N37" s="3066">
        <v>652.5</v>
      </c>
      <c r="O37" s="3066" t="s">
        <v>3734</v>
      </c>
      <c r="P37" s="3066" t="s">
        <v>3566</v>
      </c>
      <c r="Q37" s="3066">
        <v>2</v>
      </c>
      <c r="R37" s="3066">
        <v>44545.61</v>
      </c>
      <c r="S37" s="3066" t="s">
        <v>3567</v>
      </c>
      <c r="T37" s="3066">
        <v>26</v>
      </c>
      <c r="U37" s="3066">
        <v>16965</v>
      </c>
      <c r="V37" s="3066" t="s">
        <v>3560</v>
      </c>
      <c r="W37" s="3066" t="s">
        <v>3568</v>
      </c>
      <c r="X37" s="3066">
        <v>2.5</v>
      </c>
      <c r="Y37" s="3066">
        <v>19575</v>
      </c>
      <c r="Z37" s="3066" t="s">
        <v>3568</v>
      </c>
      <c r="AA37" s="3066" t="s">
        <v>3560</v>
      </c>
      <c r="AB37" s="3066" t="s">
        <v>3735</v>
      </c>
      <c r="AC37" s="3066" t="s">
        <v>3735</v>
      </c>
      <c r="AD37" s="3066" t="s">
        <v>3735</v>
      </c>
      <c r="AE37" s="3066" t="s">
        <v>3560</v>
      </c>
      <c r="AF37" s="3067">
        <v>18270</v>
      </c>
      <c r="AG37" s="3066">
        <v>18270</v>
      </c>
      <c r="AH37" s="3066">
        <v>1631.25</v>
      </c>
      <c r="AI37" s="3066">
        <v>1631.25</v>
      </c>
      <c r="AJ37" s="3066">
        <v>1250.3699999999999</v>
      </c>
      <c r="AK37" s="3066">
        <v>1250.3699999999999</v>
      </c>
      <c r="AL37" s="3066">
        <v>21151.62</v>
      </c>
      <c r="AM37" s="3066">
        <v>21151.62</v>
      </c>
      <c r="AN37" s="3066" t="s">
        <v>3560</v>
      </c>
      <c r="AP37" s="3068">
        <f t="shared" si="0"/>
        <v>28</v>
      </c>
    </row>
    <row r="38" spans="2:42" ht="27" customHeight="1">
      <c r="B38" s="3066">
        <v>36</v>
      </c>
      <c r="C38" s="3066" t="s">
        <v>3710</v>
      </c>
      <c r="D38" s="3066" t="s">
        <v>3560</v>
      </c>
      <c r="E38" s="3066" t="s">
        <v>3739</v>
      </c>
      <c r="F38" s="3066" t="s">
        <v>3559</v>
      </c>
      <c r="G38" s="3066" t="s">
        <v>1373</v>
      </c>
      <c r="H38" s="3066" t="s">
        <v>3560</v>
      </c>
      <c r="I38" s="3066" t="s">
        <v>3740</v>
      </c>
      <c r="J38" s="3066" t="s">
        <v>3741</v>
      </c>
      <c r="K38" s="3066" t="s">
        <v>3560</v>
      </c>
      <c r="L38" s="3066" t="s">
        <v>3742</v>
      </c>
      <c r="M38" s="3066" t="s">
        <v>3743</v>
      </c>
      <c r="N38" s="3066">
        <v>1305</v>
      </c>
      <c r="O38" s="3066" t="s">
        <v>3744</v>
      </c>
      <c r="P38" s="3066" t="s">
        <v>3745</v>
      </c>
      <c r="Q38" s="3066">
        <v>1</v>
      </c>
      <c r="R38" s="3066">
        <v>13309.5</v>
      </c>
      <c r="S38" s="3066" t="s">
        <v>3567</v>
      </c>
      <c r="T38" s="3066">
        <v>25.2</v>
      </c>
      <c r="U38" s="3066">
        <v>32886</v>
      </c>
      <c r="V38" s="3066" t="s">
        <v>3560</v>
      </c>
      <c r="W38" s="3066" t="s">
        <v>3568</v>
      </c>
      <c r="X38" s="3066">
        <v>2.5</v>
      </c>
      <c r="Y38" s="3066">
        <v>39150</v>
      </c>
      <c r="Z38" s="3066" t="s">
        <v>3568</v>
      </c>
      <c r="AA38" s="3066" t="s">
        <v>3560</v>
      </c>
      <c r="AB38" s="3066" t="s">
        <v>3746</v>
      </c>
      <c r="AC38" s="3066" t="s">
        <v>3746</v>
      </c>
      <c r="AD38" s="3066" t="s">
        <v>3746</v>
      </c>
      <c r="AE38" s="3066" t="s">
        <v>3560</v>
      </c>
      <c r="AF38" s="3067">
        <v>32886</v>
      </c>
      <c r="AG38" s="3066">
        <v>0</v>
      </c>
      <c r="AH38" s="3066">
        <v>3262.5</v>
      </c>
      <c r="AI38" s="3066">
        <v>0</v>
      </c>
      <c r="AJ38" s="3066">
        <v>6167.1</v>
      </c>
      <c r="AK38" s="3066">
        <v>0</v>
      </c>
      <c r="AL38" s="3066">
        <v>42315.6</v>
      </c>
      <c r="AM38" s="3066">
        <v>0</v>
      </c>
      <c r="AN38" s="3066" t="s">
        <v>3560</v>
      </c>
      <c r="AP38" s="3068">
        <f t="shared" si="0"/>
        <v>25.2</v>
      </c>
    </row>
    <row r="39" spans="2:42" ht="27" customHeight="1">
      <c r="B39" s="3066">
        <v>37</v>
      </c>
      <c r="C39" s="3066" t="s">
        <v>3710</v>
      </c>
      <c r="D39" s="3066" t="s">
        <v>3560</v>
      </c>
      <c r="E39" s="3066" t="s">
        <v>3747</v>
      </c>
      <c r="F39" s="3066" t="s">
        <v>3559</v>
      </c>
      <c r="G39" s="3066" t="s">
        <v>1373</v>
      </c>
      <c r="H39" s="3066" t="s">
        <v>3560</v>
      </c>
      <c r="I39" s="3066" t="s">
        <v>3748</v>
      </c>
      <c r="J39" s="3066" t="s">
        <v>3741</v>
      </c>
      <c r="K39" s="3066" t="s">
        <v>3560</v>
      </c>
      <c r="L39" s="3066" t="s">
        <v>3742</v>
      </c>
      <c r="M39" s="3066" t="s">
        <v>3749</v>
      </c>
      <c r="N39" s="3066">
        <v>1305</v>
      </c>
      <c r="O39" s="3066" t="s">
        <v>3750</v>
      </c>
      <c r="P39" s="3066" t="s">
        <v>3745</v>
      </c>
      <c r="Q39" s="3066">
        <v>2</v>
      </c>
      <c r="R39" s="3066">
        <v>136246.5</v>
      </c>
      <c r="S39" s="3066" t="s">
        <v>3567</v>
      </c>
      <c r="T39" s="3066">
        <v>24</v>
      </c>
      <c r="U39" s="3066">
        <v>31320</v>
      </c>
      <c r="V39" s="3066" t="s">
        <v>3560</v>
      </c>
      <c r="W39" s="3066" t="s">
        <v>3568</v>
      </c>
      <c r="X39" s="3066">
        <v>2.5</v>
      </c>
      <c r="Y39" s="3066">
        <v>39150</v>
      </c>
      <c r="Z39" s="3066" t="s">
        <v>3568</v>
      </c>
      <c r="AA39" s="3066" t="s">
        <v>3560</v>
      </c>
      <c r="AB39" s="3066" t="s">
        <v>3751</v>
      </c>
      <c r="AC39" s="3066" t="s">
        <v>3751</v>
      </c>
      <c r="AD39" s="3066" t="s">
        <v>3751</v>
      </c>
      <c r="AE39" s="3066" t="s">
        <v>3560</v>
      </c>
      <c r="AF39" s="3067">
        <v>32886</v>
      </c>
      <c r="AG39" s="3066">
        <v>0</v>
      </c>
      <c r="AH39" s="3066">
        <v>3262.5</v>
      </c>
      <c r="AI39" s="3066">
        <v>0</v>
      </c>
      <c r="AJ39" s="3066">
        <v>0</v>
      </c>
      <c r="AK39" s="3066">
        <v>0</v>
      </c>
      <c r="AL39" s="3066">
        <v>36148.5</v>
      </c>
      <c r="AM39" s="3066">
        <v>0</v>
      </c>
      <c r="AN39" s="3066" t="s">
        <v>3560</v>
      </c>
      <c r="AP39" s="3068">
        <f t="shared" si="0"/>
        <v>25.2</v>
      </c>
    </row>
    <row r="40" spans="2:42" ht="27" customHeight="1">
      <c r="B40" s="3066">
        <v>38</v>
      </c>
      <c r="C40" s="3066" t="s">
        <v>3710</v>
      </c>
      <c r="D40" s="3066" t="s">
        <v>3560</v>
      </c>
      <c r="E40" s="3066" t="s">
        <v>3752</v>
      </c>
      <c r="F40" s="3066" t="s">
        <v>3559</v>
      </c>
      <c r="G40" s="3066" t="s">
        <v>3560</v>
      </c>
      <c r="H40" s="3066" t="s">
        <v>3560</v>
      </c>
      <c r="I40" s="3066" t="s">
        <v>3753</v>
      </c>
      <c r="J40" s="3066" t="s">
        <v>3754</v>
      </c>
      <c r="K40" s="3066" t="s">
        <v>3560</v>
      </c>
      <c r="L40" s="3066" t="s">
        <v>3755</v>
      </c>
      <c r="M40" s="3066" t="s">
        <v>3756</v>
      </c>
      <c r="N40" s="3066">
        <v>1305</v>
      </c>
      <c r="O40" s="3066" t="s">
        <v>3757</v>
      </c>
      <c r="P40" s="3066" t="s">
        <v>3566</v>
      </c>
      <c r="Q40" s="3066">
        <v>3</v>
      </c>
      <c r="R40" s="3066">
        <v>107662.5</v>
      </c>
      <c r="S40" s="3066" t="s">
        <v>3567</v>
      </c>
      <c r="T40" s="3066">
        <v>25</v>
      </c>
      <c r="U40" s="3066">
        <v>32625</v>
      </c>
      <c r="V40" s="3066" t="s">
        <v>3560</v>
      </c>
      <c r="W40" s="3066" t="s">
        <v>3568</v>
      </c>
      <c r="X40" s="3066">
        <v>2.5</v>
      </c>
      <c r="Y40" s="3066">
        <v>39150</v>
      </c>
      <c r="Z40" s="3066" t="s">
        <v>3568</v>
      </c>
      <c r="AA40" s="3066" t="s">
        <v>3560</v>
      </c>
      <c r="AB40" s="3066" t="s">
        <v>3642</v>
      </c>
      <c r="AC40" s="3066" t="s">
        <v>3642</v>
      </c>
      <c r="AD40" s="3066" t="s">
        <v>3642</v>
      </c>
      <c r="AE40" s="3066" t="s">
        <v>3560</v>
      </c>
      <c r="AF40" s="3067">
        <v>32625</v>
      </c>
      <c r="AG40" s="3066">
        <v>32625</v>
      </c>
      <c r="AH40" s="3066">
        <v>3262.5</v>
      </c>
      <c r="AI40" s="3066">
        <v>3262.5</v>
      </c>
      <c r="AJ40" s="3066">
        <v>1606.93</v>
      </c>
      <c r="AK40" s="3066">
        <v>1606.93</v>
      </c>
      <c r="AL40" s="3066">
        <v>37494.43</v>
      </c>
      <c r="AM40" s="3066">
        <v>37494.43</v>
      </c>
      <c r="AN40" s="3066" t="s">
        <v>3560</v>
      </c>
      <c r="AP40" s="3068">
        <f t="shared" si="0"/>
        <v>25</v>
      </c>
    </row>
    <row r="41" spans="2:42" ht="27" customHeight="1">
      <c r="B41" s="3066">
        <v>39</v>
      </c>
      <c r="C41" s="3066" t="s">
        <v>3710</v>
      </c>
      <c r="D41" s="3066" t="s">
        <v>3560</v>
      </c>
      <c r="E41" s="3066" t="s">
        <v>3758</v>
      </c>
      <c r="F41" s="3066" t="s">
        <v>3559</v>
      </c>
      <c r="G41" s="3066" t="s">
        <v>1373</v>
      </c>
      <c r="H41" s="3066" t="s">
        <v>3560</v>
      </c>
      <c r="I41" s="3066" t="s">
        <v>3759</v>
      </c>
      <c r="J41" s="3066" t="s">
        <v>3760</v>
      </c>
      <c r="K41" s="3066" t="s">
        <v>3560</v>
      </c>
      <c r="L41" s="3066" t="s">
        <v>3761</v>
      </c>
      <c r="M41" s="3066" t="s">
        <v>3762</v>
      </c>
      <c r="N41" s="3066">
        <v>1205</v>
      </c>
      <c r="O41" s="3066" t="s">
        <v>3763</v>
      </c>
      <c r="P41" s="3066" t="s">
        <v>3566</v>
      </c>
      <c r="Q41" s="3066">
        <v>2</v>
      </c>
      <c r="R41" s="3066">
        <v>123387.5</v>
      </c>
      <c r="S41" s="3066" t="s">
        <v>3567</v>
      </c>
      <c r="T41" s="3066">
        <v>22</v>
      </c>
      <c r="U41" s="3066">
        <v>26510</v>
      </c>
      <c r="V41" s="3066" t="s">
        <v>3560</v>
      </c>
      <c r="W41" s="3066" t="s">
        <v>3568</v>
      </c>
      <c r="X41" s="3066">
        <v>2.5</v>
      </c>
      <c r="Y41" s="3066">
        <v>36150</v>
      </c>
      <c r="Z41" s="3066" t="s">
        <v>3568</v>
      </c>
      <c r="AA41" s="3066" t="s">
        <v>3560</v>
      </c>
      <c r="AB41" s="3066" t="s">
        <v>3764</v>
      </c>
      <c r="AC41" s="3066" t="s">
        <v>3764</v>
      </c>
      <c r="AD41" s="3066" t="s">
        <v>3764</v>
      </c>
      <c r="AE41" s="3066" t="s">
        <v>3560</v>
      </c>
      <c r="AF41" s="3067">
        <v>26510</v>
      </c>
      <c r="AG41" s="3066">
        <v>0</v>
      </c>
      <c r="AH41" s="3066">
        <v>3012.5</v>
      </c>
      <c r="AI41" s="3066">
        <v>0</v>
      </c>
      <c r="AJ41" s="3066">
        <v>8713.5300000000007</v>
      </c>
      <c r="AK41" s="3066">
        <v>0</v>
      </c>
      <c r="AL41" s="3066">
        <v>38236.03</v>
      </c>
      <c r="AM41" s="3066">
        <v>0</v>
      </c>
      <c r="AN41" s="3066" t="s">
        <v>3560</v>
      </c>
      <c r="AP41" s="3068">
        <f t="shared" si="0"/>
        <v>22</v>
      </c>
    </row>
    <row r="42" spans="2:42" ht="27" customHeight="1">
      <c r="B42" s="3066">
        <v>40</v>
      </c>
      <c r="C42" s="3066" t="s">
        <v>3710</v>
      </c>
      <c r="D42" s="3066" t="s">
        <v>3560</v>
      </c>
      <c r="E42" s="3066" t="s">
        <v>3765</v>
      </c>
      <c r="F42" s="3066" t="s">
        <v>3559</v>
      </c>
      <c r="G42" s="3066" t="s">
        <v>1373</v>
      </c>
      <c r="H42" s="3066" t="s">
        <v>3560</v>
      </c>
      <c r="I42" s="3066" t="s">
        <v>3766</v>
      </c>
      <c r="J42" s="3066" t="s">
        <v>3767</v>
      </c>
      <c r="K42" s="3066" t="s">
        <v>3560</v>
      </c>
      <c r="L42" s="3066" t="s">
        <v>3768</v>
      </c>
      <c r="M42" s="3066" t="s">
        <v>3769</v>
      </c>
      <c r="N42" s="3066">
        <v>1305</v>
      </c>
      <c r="O42" s="3066" t="s">
        <v>3641</v>
      </c>
      <c r="P42" s="3066" t="s">
        <v>3566</v>
      </c>
      <c r="Q42" s="3066">
        <v>2</v>
      </c>
      <c r="R42" s="3066">
        <v>121156.2</v>
      </c>
      <c r="S42" s="3066" t="s">
        <v>3567</v>
      </c>
      <c r="T42" s="3066">
        <v>22</v>
      </c>
      <c r="U42" s="3066">
        <v>28710</v>
      </c>
      <c r="V42" s="3066" t="s">
        <v>3560</v>
      </c>
      <c r="W42" s="3066" t="s">
        <v>3568</v>
      </c>
      <c r="X42" s="3066">
        <v>2.5</v>
      </c>
      <c r="Y42" s="3066">
        <v>39150</v>
      </c>
      <c r="Z42" s="3066" t="s">
        <v>3568</v>
      </c>
      <c r="AA42" s="3066" t="s">
        <v>3560</v>
      </c>
      <c r="AB42" s="3066" t="s">
        <v>3642</v>
      </c>
      <c r="AC42" s="3066" t="s">
        <v>3642</v>
      </c>
      <c r="AD42" s="3066" t="s">
        <v>3642</v>
      </c>
      <c r="AE42" s="3066" t="s">
        <v>3560</v>
      </c>
      <c r="AF42" s="3067">
        <v>28710</v>
      </c>
      <c r="AG42" s="3066">
        <v>0</v>
      </c>
      <c r="AH42" s="3066">
        <v>3262.5</v>
      </c>
      <c r="AI42" s="3066">
        <v>0</v>
      </c>
      <c r="AJ42" s="3066">
        <v>9641.07</v>
      </c>
      <c r="AK42" s="3066">
        <v>0</v>
      </c>
      <c r="AL42" s="3066">
        <v>41613.57</v>
      </c>
      <c r="AM42" s="3066">
        <v>0</v>
      </c>
      <c r="AN42" s="3066" t="s">
        <v>3560</v>
      </c>
      <c r="AP42" s="3068">
        <f t="shared" si="0"/>
        <v>22</v>
      </c>
    </row>
    <row r="43" spans="2:42" ht="27" customHeight="1">
      <c r="B43" s="3066">
        <v>41</v>
      </c>
      <c r="C43" s="3066" t="s">
        <v>3710</v>
      </c>
      <c r="D43" s="3066" t="s">
        <v>3560</v>
      </c>
      <c r="E43" s="3066" t="s">
        <v>3770</v>
      </c>
      <c r="F43" s="3066" t="s">
        <v>3559</v>
      </c>
      <c r="G43" s="3066" t="s">
        <v>1373</v>
      </c>
      <c r="H43" s="3066" t="s">
        <v>3560</v>
      </c>
      <c r="I43" s="3066" t="s">
        <v>3771</v>
      </c>
      <c r="J43" s="3066" t="s">
        <v>3772</v>
      </c>
      <c r="K43" s="3066" t="s">
        <v>3560</v>
      </c>
      <c r="L43" s="3066" t="s">
        <v>3773</v>
      </c>
      <c r="M43" s="3066" t="s">
        <v>3774</v>
      </c>
      <c r="N43" s="3066">
        <v>543</v>
      </c>
      <c r="O43" s="3066" t="s">
        <v>3775</v>
      </c>
      <c r="P43" s="3066" t="s">
        <v>3566</v>
      </c>
      <c r="Q43" s="3066">
        <v>4</v>
      </c>
      <c r="R43" s="3066">
        <v>36327</v>
      </c>
      <c r="S43" s="3066" t="s">
        <v>3567</v>
      </c>
      <c r="T43" s="3066">
        <v>20</v>
      </c>
      <c r="U43" s="3066">
        <v>10860</v>
      </c>
      <c r="V43" s="3066" t="s">
        <v>3560</v>
      </c>
      <c r="W43" s="3066" t="s">
        <v>3568</v>
      </c>
      <c r="X43" s="3066">
        <v>2.2999999999999998</v>
      </c>
      <c r="Y43" s="3066">
        <v>14986.8</v>
      </c>
      <c r="Z43" s="3066" t="s">
        <v>3568</v>
      </c>
      <c r="AA43" s="3066" t="s">
        <v>3560</v>
      </c>
      <c r="AB43" s="3066" t="s">
        <v>3776</v>
      </c>
      <c r="AC43" s="3066" t="s">
        <v>3776</v>
      </c>
      <c r="AD43" s="3066" t="s">
        <v>3776</v>
      </c>
      <c r="AE43" s="3066" t="s">
        <v>3560</v>
      </c>
      <c r="AF43" s="3067">
        <v>11946</v>
      </c>
      <c r="AG43" s="3066">
        <v>0</v>
      </c>
      <c r="AH43" s="3066">
        <v>1248.9000000000001</v>
      </c>
      <c r="AI43" s="3066">
        <v>0</v>
      </c>
      <c r="AJ43" s="3066">
        <v>914.56</v>
      </c>
      <c r="AK43" s="3066">
        <v>0</v>
      </c>
      <c r="AL43" s="3066">
        <v>14109.46</v>
      </c>
      <c r="AM43" s="3066">
        <v>0</v>
      </c>
      <c r="AN43" s="3066" t="s">
        <v>3560</v>
      </c>
      <c r="AP43" s="3068">
        <f t="shared" si="0"/>
        <v>22</v>
      </c>
    </row>
    <row r="44" spans="2:42" ht="27" customHeight="1">
      <c r="B44" s="3066">
        <v>42</v>
      </c>
      <c r="C44" s="3066" t="s">
        <v>3710</v>
      </c>
      <c r="D44" s="3066" t="s">
        <v>3560</v>
      </c>
      <c r="E44" s="3066" t="s">
        <v>3777</v>
      </c>
      <c r="F44" s="3066" t="s">
        <v>3559</v>
      </c>
      <c r="G44" s="3066" t="s">
        <v>1373</v>
      </c>
      <c r="H44" s="3066" t="s">
        <v>3560</v>
      </c>
      <c r="I44" s="3066" t="s">
        <v>3624</v>
      </c>
      <c r="J44" s="3066" t="s">
        <v>3625</v>
      </c>
      <c r="K44" s="3066" t="s">
        <v>3560</v>
      </c>
      <c r="L44" s="3066" t="s">
        <v>3626</v>
      </c>
      <c r="M44" s="3066" t="s">
        <v>3778</v>
      </c>
      <c r="N44" s="3066">
        <v>762</v>
      </c>
      <c r="O44" s="3066" t="s">
        <v>3779</v>
      </c>
      <c r="P44" s="3066" t="s">
        <v>3566</v>
      </c>
      <c r="Q44" s="3066">
        <v>3</v>
      </c>
      <c r="R44" s="3066">
        <v>0</v>
      </c>
      <c r="S44" s="3066" t="s">
        <v>3577</v>
      </c>
      <c r="T44" s="3066">
        <v>20</v>
      </c>
      <c r="U44" s="3066">
        <v>15240</v>
      </c>
      <c r="V44" s="3066" t="s">
        <v>3560</v>
      </c>
      <c r="W44" s="3066" t="s">
        <v>3568</v>
      </c>
      <c r="X44" s="3066">
        <v>2.2999999999999998</v>
      </c>
      <c r="Y44" s="3066">
        <v>21031.200000000001</v>
      </c>
      <c r="Z44" s="3066" t="s">
        <v>3568</v>
      </c>
      <c r="AA44" s="3066" t="s">
        <v>3560</v>
      </c>
      <c r="AB44" s="3066" t="s">
        <v>3780</v>
      </c>
      <c r="AC44" s="3066" t="s">
        <v>3780</v>
      </c>
      <c r="AD44" s="3066" t="s">
        <v>3780</v>
      </c>
      <c r="AE44" s="3066" t="s">
        <v>3560</v>
      </c>
      <c r="AF44" s="3067">
        <v>18288</v>
      </c>
      <c r="AG44" s="3066">
        <v>18288</v>
      </c>
      <c r="AH44" s="3066">
        <v>1752.6</v>
      </c>
      <c r="AI44" s="3066">
        <v>1752.6</v>
      </c>
      <c r="AJ44" s="3066">
        <v>1142.51</v>
      </c>
      <c r="AK44" s="3066">
        <v>1142.51</v>
      </c>
      <c r="AL44" s="3066">
        <v>21183.11</v>
      </c>
      <c r="AM44" s="3066">
        <v>21183.11</v>
      </c>
      <c r="AN44" s="3066" t="s">
        <v>3560</v>
      </c>
      <c r="AP44" s="3068">
        <f t="shared" si="0"/>
        <v>24</v>
      </c>
    </row>
    <row r="45" spans="2:42" ht="27" customHeight="1">
      <c r="B45" s="3066">
        <v>43</v>
      </c>
      <c r="C45" s="3066" t="s">
        <v>3710</v>
      </c>
      <c r="D45" s="3066" t="s">
        <v>3560</v>
      </c>
      <c r="E45" s="3066" t="s">
        <v>3777</v>
      </c>
      <c r="F45" s="3066" t="s">
        <v>3559</v>
      </c>
      <c r="G45" s="3066" t="s">
        <v>3560</v>
      </c>
      <c r="H45" s="3066" t="s">
        <v>3560</v>
      </c>
      <c r="I45" s="3066" t="s">
        <v>3781</v>
      </c>
      <c r="J45" s="3066" t="s">
        <v>3781</v>
      </c>
      <c r="K45" s="3066" t="s">
        <v>3560</v>
      </c>
      <c r="L45" s="3066" t="s">
        <v>3782</v>
      </c>
      <c r="M45" s="3066" t="s">
        <v>3778</v>
      </c>
      <c r="N45" s="3066">
        <v>762</v>
      </c>
      <c r="O45" s="3066" t="s">
        <v>3560</v>
      </c>
      <c r="P45" s="3066" t="s">
        <v>3560</v>
      </c>
      <c r="Q45" s="3066">
        <v>0</v>
      </c>
      <c r="R45" s="3066">
        <v>0</v>
      </c>
      <c r="S45" s="3066" t="s">
        <v>3577</v>
      </c>
      <c r="T45" s="3066">
        <v>0</v>
      </c>
      <c r="U45" s="3066">
        <v>0</v>
      </c>
      <c r="V45" s="3066" t="s">
        <v>3560</v>
      </c>
      <c r="W45" s="3066" t="s">
        <v>3568</v>
      </c>
      <c r="X45" s="3066">
        <v>0</v>
      </c>
      <c r="Y45" s="3066">
        <v>0</v>
      </c>
      <c r="Z45" s="3066" t="s">
        <v>3568</v>
      </c>
      <c r="AA45" s="3066" t="s">
        <v>3560</v>
      </c>
      <c r="AB45" s="3066" t="s">
        <v>3560</v>
      </c>
      <c r="AC45" s="3066" t="s">
        <v>3560</v>
      </c>
      <c r="AD45" s="3066" t="s">
        <v>3560</v>
      </c>
      <c r="AE45" s="3066" t="s">
        <v>3560</v>
      </c>
      <c r="AF45" s="3067">
        <v>0</v>
      </c>
      <c r="AG45" s="3066">
        <v>0</v>
      </c>
      <c r="AH45" s="3066">
        <v>0</v>
      </c>
      <c r="AI45" s="3066">
        <v>0</v>
      </c>
      <c r="AJ45" s="3066">
        <v>0</v>
      </c>
      <c r="AK45" s="3066">
        <v>0</v>
      </c>
      <c r="AL45" s="3066">
        <v>0</v>
      </c>
      <c r="AM45" s="3066">
        <v>0</v>
      </c>
      <c r="AN45" s="3066" t="s">
        <v>3560</v>
      </c>
      <c r="AP45" s="3068">
        <f t="shared" si="0"/>
        <v>0</v>
      </c>
    </row>
    <row r="46" spans="2:42" ht="27" customHeight="1">
      <c r="B46" s="3066">
        <v>44</v>
      </c>
      <c r="C46" s="3066" t="s">
        <v>3710</v>
      </c>
      <c r="D46" s="3066" t="s">
        <v>3560</v>
      </c>
      <c r="E46" s="3066" t="s">
        <v>3783</v>
      </c>
      <c r="F46" s="3066" t="s">
        <v>3559</v>
      </c>
      <c r="G46" s="3066" t="s">
        <v>3560</v>
      </c>
      <c r="H46" s="3066" t="s">
        <v>3560</v>
      </c>
      <c r="I46" s="3066" t="s">
        <v>3781</v>
      </c>
      <c r="J46" s="3066" t="s">
        <v>3781</v>
      </c>
      <c r="K46" s="3066" t="s">
        <v>3560</v>
      </c>
      <c r="L46" s="3066" t="s">
        <v>3782</v>
      </c>
      <c r="M46" s="3066" t="s">
        <v>3784</v>
      </c>
      <c r="N46" s="3066">
        <v>134</v>
      </c>
      <c r="O46" s="3066" t="s">
        <v>3785</v>
      </c>
      <c r="P46" s="3066" t="s">
        <v>3566</v>
      </c>
      <c r="Q46" s="3066">
        <v>1</v>
      </c>
      <c r="R46" s="3066">
        <v>9849</v>
      </c>
      <c r="S46" s="3066" t="s">
        <v>3567</v>
      </c>
      <c r="T46" s="3066">
        <v>22</v>
      </c>
      <c r="U46" s="3066">
        <v>2948</v>
      </c>
      <c r="V46" s="3066" t="s">
        <v>3560</v>
      </c>
      <c r="W46" s="3066" t="s">
        <v>3568</v>
      </c>
      <c r="X46" s="3066">
        <v>2.5</v>
      </c>
      <c r="Y46" s="3066">
        <v>4020</v>
      </c>
      <c r="Z46" s="3066" t="s">
        <v>3568</v>
      </c>
      <c r="AA46" s="3066" t="s">
        <v>3560</v>
      </c>
      <c r="AB46" s="3066" t="s">
        <v>3591</v>
      </c>
      <c r="AC46" s="3066" t="s">
        <v>3591</v>
      </c>
      <c r="AD46" s="3066" t="s">
        <v>3591</v>
      </c>
      <c r="AE46" s="3066" t="s">
        <v>3560</v>
      </c>
      <c r="AF46" s="3067">
        <v>2948</v>
      </c>
      <c r="AG46" s="3066">
        <v>0</v>
      </c>
      <c r="AH46" s="3066">
        <v>335</v>
      </c>
      <c r="AI46" s="3066">
        <v>0</v>
      </c>
      <c r="AJ46" s="3066">
        <v>125.53</v>
      </c>
      <c r="AK46" s="3066">
        <v>0</v>
      </c>
      <c r="AL46" s="3066">
        <v>3408.53</v>
      </c>
      <c r="AM46" s="3066">
        <v>0</v>
      </c>
      <c r="AN46" s="3066" t="s">
        <v>3560</v>
      </c>
      <c r="AP46" s="3068">
        <f t="shared" si="0"/>
        <v>22</v>
      </c>
    </row>
    <row r="47" spans="2:42" ht="27" customHeight="1">
      <c r="B47" s="3066">
        <v>45</v>
      </c>
      <c r="C47" s="3066" t="s">
        <v>3710</v>
      </c>
      <c r="D47" s="3066" t="s">
        <v>3560</v>
      </c>
      <c r="E47" s="3066" t="s">
        <v>3786</v>
      </c>
      <c r="F47" s="3066" t="s">
        <v>3559</v>
      </c>
      <c r="G47" s="3066" t="s">
        <v>1373</v>
      </c>
      <c r="H47" s="3066" t="s">
        <v>3560</v>
      </c>
      <c r="I47" s="3066" t="s">
        <v>3787</v>
      </c>
      <c r="J47" s="3066" t="s">
        <v>3788</v>
      </c>
      <c r="K47" s="3066" t="s">
        <v>3560</v>
      </c>
      <c r="L47" s="3066" t="s">
        <v>3789</v>
      </c>
      <c r="M47" s="3066" t="s">
        <v>3790</v>
      </c>
      <c r="N47" s="3066">
        <v>236.24</v>
      </c>
      <c r="O47" s="3066" t="s">
        <v>3763</v>
      </c>
      <c r="P47" s="3066" t="s">
        <v>3566</v>
      </c>
      <c r="Q47" s="3066">
        <v>2</v>
      </c>
      <c r="R47" s="3066">
        <v>24817.200000000001</v>
      </c>
      <c r="S47" s="3066" t="s">
        <v>3567</v>
      </c>
      <c r="T47" s="3066">
        <v>20</v>
      </c>
      <c r="U47" s="3066">
        <v>4724.8</v>
      </c>
      <c r="V47" s="3066" t="s">
        <v>3560</v>
      </c>
      <c r="W47" s="3066" t="s">
        <v>3568</v>
      </c>
      <c r="X47" s="3066">
        <v>2.5</v>
      </c>
      <c r="Y47" s="3066">
        <v>7087.2</v>
      </c>
      <c r="Z47" s="3066" t="s">
        <v>3568</v>
      </c>
      <c r="AA47" s="3066" t="s">
        <v>3560</v>
      </c>
      <c r="AB47" s="3066" t="s">
        <v>3764</v>
      </c>
      <c r="AC47" s="3066" t="s">
        <v>3764</v>
      </c>
      <c r="AD47" s="3066" t="s">
        <v>3764</v>
      </c>
      <c r="AE47" s="3066" t="s">
        <v>3560</v>
      </c>
      <c r="AF47" s="3067">
        <v>5197.28</v>
      </c>
      <c r="AG47" s="3066">
        <v>0</v>
      </c>
      <c r="AH47" s="3066">
        <v>590.6</v>
      </c>
      <c r="AI47" s="3066">
        <v>0</v>
      </c>
      <c r="AJ47" s="3066">
        <v>113.87</v>
      </c>
      <c r="AK47" s="3066">
        <v>0</v>
      </c>
      <c r="AL47" s="3066">
        <v>5901.75</v>
      </c>
      <c r="AM47" s="3066">
        <v>0</v>
      </c>
      <c r="AN47" s="3066" t="s">
        <v>3560</v>
      </c>
      <c r="AP47" s="3068">
        <f t="shared" si="0"/>
        <v>21.999999999999996</v>
      </c>
    </row>
    <row r="48" spans="2:42" ht="27" customHeight="1">
      <c r="B48" s="3066">
        <v>46</v>
      </c>
      <c r="C48" s="3066" t="s">
        <v>3181</v>
      </c>
      <c r="D48" s="3066" t="s">
        <v>3791</v>
      </c>
      <c r="E48" s="3066" t="s">
        <v>3792</v>
      </c>
      <c r="F48" s="3066" t="s">
        <v>3559</v>
      </c>
      <c r="G48" s="3066" t="s">
        <v>1373</v>
      </c>
      <c r="H48" s="3066" t="s">
        <v>3560</v>
      </c>
      <c r="I48" s="3066" t="s">
        <v>3793</v>
      </c>
      <c r="J48" s="3066" t="s">
        <v>3794</v>
      </c>
      <c r="K48" s="3066" t="s">
        <v>3560</v>
      </c>
      <c r="L48" s="3066" t="s">
        <v>3795</v>
      </c>
      <c r="M48" s="3066" t="s">
        <v>3796</v>
      </c>
      <c r="N48" s="3066">
        <v>2176</v>
      </c>
      <c r="O48" s="3066" t="s">
        <v>3797</v>
      </c>
      <c r="P48" s="3066" t="s">
        <v>3566</v>
      </c>
      <c r="Q48" s="3066">
        <v>2</v>
      </c>
      <c r="R48" s="3066">
        <v>543458.46</v>
      </c>
      <c r="S48" s="3066" t="s">
        <v>3567</v>
      </c>
      <c r="T48" s="3066">
        <v>31</v>
      </c>
      <c r="U48" s="3066">
        <v>67456</v>
      </c>
      <c r="V48" s="3066" t="s">
        <v>3560</v>
      </c>
      <c r="W48" s="3066" t="s">
        <v>3568</v>
      </c>
      <c r="X48" s="3066">
        <v>2</v>
      </c>
      <c r="Y48" s="3066">
        <v>52224</v>
      </c>
      <c r="Z48" s="3066" t="s">
        <v>3568</v>
      </c>
      <c r="AA48" s="3066" t="s">
        <v>3560</v>
      </c>
      <c r="AB48" s="3066" t="s">
        <v>3798</v>
      </c>
      <c r="AC48" s="3066" t="s">
        <v>3798</v>
      </c>
      <c r="AD48" s="3066" t="s">
        <v>3798</v>
      </c>
      <c r="AE48" s="3066" t="s">
        <v>3560</v>
      </c>
      <c r="AF48" s="3067">
        <v>67456</v>
      </c>
      <c r="AG48" s="3066">
        <v>67456</v>
      </c>
      <c r="AH48" s="3066">
        <v>4352</v>
      </c>
      <c r="AI48" s="3066">
        <v>4352</v>
      </c>
      <c r="AJ48" s="3066">
        <v>47431.78</v>
      </c>
      <c r="AK48" s="3066">
        <v>47431.78</v>
      </c>
      <c r="AL48" s="3066">
        <v>119239.78</v>
      </c>
      <c r="AM48" s="3066">
        <v>119239.78</v>
      </c>
      <c r="AN48" s="3066" t="s">
        <v>3560</v>
      </c>
      <c r="AP48" s="3068">
        <f t="shared" si="0"/>
        <v>31</v>
      </c>
    </row>
    <row r="49" spans="2:42" ht="27" customHeight="1">
      <c r="B49" s="3066">
        <v>47</v>
      </c>
      <c r="C49" s="3066" t="s">
        <v>3181</v>
      </c>
      <c r="D49" s="3066" t="s">
        <v>3560</v>
      </c>
      <c r="E49" s="3066" t="s">
        <v>3799</v>
      </c>
      <c r="F49" s="3066" t="s">
        <v>3559</v>
      </c>
      <c r="G49" s="3066" t="s">
        <v>1373</v>
      </c>
      <c r="H49" s="3066" t="s">
        <v>3560</v>
      </c>
      <c r="I49" s="3066" t="s">
        <v>3800</v>
      </c>
      <c r="J49" s="3066" t="s">
        <v>3801</v>
      </c>
      <c r="K49" s="3066" t="s">
        <v>3560</v>
      </c>
      <c r="L49" s="3066" t="s">
        <v>3802</v>
      </c>
      <c r="M49" s="3066" t="s">
        <v>3803</v>
      </c>
      <c r="N49" s="3066">
        <v>800</v>
      </c>
      <c r="O49" s="3066" t="s">
        <v>3804</v>
      </c>
      <c r="P49" s="3066" t="s">
        <v>3566</v>
      </c>
      <c r="Q49" s="3066">
        <v>1</v>
      </c>
      <c r="R49" s="3066">
        <v>73341</v>
      </c>
      <c r="S49" s="3066" t="s">
        <v>3567</v>
      </c>
      <c r="T49" s="3066">
        <v>28</v>
      </c>
      <c r="U49" s="3066">
        <v>22400</v>
      </c>
      <c r="V49" s="3066" t="s">
        <v>3560</v>
      </c>
      <c r="W49" s="3066" t="s">
        <v>3568</v>
      </c>
      <c r="X49" s="3066">
        <v>2.2999999999999998</v>
      </c>
      <c r="Y49" s="3066">
        <v>22080</v>
      </c>
      <c r="Z49" s="3066" t="s">
        <v>3568</v>
      </c>
      <c r="AA49" s="3066" t="s">
        <v>3560</v>
      </c>
      <c r="AB49" s="3066" t="s">
        <v>3746</v>
      </c>
      <c r="AC49" s="3066" t="s">
        <v>3746</v>
      </c>
      <c r="AD49" s="3066" t="s">
        <v>3746</v>
      </c>
      <c r="AE49" s="3066" t="s">
        <v>3560</v>
      </c>
      <c r="AF49" s="3067">
        <v>22400</v>
      </c>
      <c r="AG49" s="3066">
        <v>0</v>
      </c>
      <c r="AH49" s="3066">
        <v>1840</v>
      </c>
      <c r="AI49" s="3066">
        <v>0</v>
      </c>
      <c r="AJ49" s="3066">
        <v>4984.3599999999997</v>
      </c>
      <c r="AK49" s="3066">
        <v>0</v>
      </c>
      <c r="AL49" s="3066">
        <v>29224.36</v>
      </c>
      <c r="AM49" s="3066">
        <v>0</v>
      </c>
      <c r="AN49" s="3066" t="s">
        <v>3560</v>
      </c>
      <c r="AP49" s="3068">
        <f t="shared" si="0"/>
        <v>28</v>
      </c>
    </row>
    <row r="50" spans="2:42" ht="27" customHeight="1">
      <c r="B50" s="3066">
        <v>48</v>
      </c>
      <c r="C50" s="3066" t="s">
        <v>3181</v>
      </c>
      <c r="D50" s="3066" t="s">
        <v>3560</v>
      </c>
      <c r="E50" s="3066" t="s">
        <v>3805</v>
      </c>
      <c r="F50" s="3066" t="s">
        <v>3559</v>
      </c>
      <c r="G50" s="3066" t="s">
        <v>1373</v>
      </c>
      <c r="H50" s="3066" t="s">
        <v>3560</v>
      </c>
      <c r="I50" s="3066" t="s">
        <v>3806</v>
      </c>
      <c r="J50" s="3066" t="s">
        <v>3807</v>
      </c>
      <c r="K50" s="3066" t="s">
        <v>3560</v>
      </c>
      <c r="L50" s="3066" t="s">
        <v>3808</v>
      </c>
      <c r="M50" s="3066" t="s">
        <v>3809</v>
      </c>
      <c r="N50" s="3066">
        <v>1087.5</v>
      </c>
      <c r="O50" s="3066" t="s">
        <v>3810</v>
      </c>
      <c r="P50" s="3066" t="s">
        <v>3566</v>
      </c>
      <c r="Q50" s="3066">
        <v>2</v>
      </c>
      <c r="R50" s="3066">
        <v>104816</v>
      </c>
      <c r="S50" s="3066" t="s">
        <v>3567</v>
      </c>
      <c r="T50" s="3066">
        <v>28</v>
      </c>
      <c r="U50" s="3066">
        <v>30450</v>
      </c>
      <c r="V50" s="3066" t="s">
        <v>3560</v>
      </c>
      <c r="W50" s="3066" t="s">
        <v>3568</v>
      </c>
      <c r="X50" s="3066">
        <v>2.5</v>
      </c>
      <c r="Y50" s="3066">
        <v>32625</v>
      </c>
      <c r="Z50" s="3066" t="s">
        <v>3568</v>
      </c>
      <c r="AA50" s="3066" t="s">
        <v>3560</v>
      </c>
      <c r="AB50" s="3066" t="s">
        <v>3811</v>
      </c>
      <c r="AC50" s="3066" t="s">
        <v>3811</v>
      </c>
      <c r="AD50" s="3066" t="s">
        <v>3811</v>
      </c>
      <c r="AE50" s="3066" t="s">
        <v>3560</v>
      </c>
      <c r="AF50" s="3067">
        <v>30450</v>
      </c>
      <c r="AG50" s="3066">
        <v>30450</v>
      </c>
      <c r="AH50" s="3066">
        <v>2718.75</v>
      </c>
      <c r="AI50" s="3066">
        <v>2718.75</v>
      </c>
      <c r="AJ50" s="3066">
        <v>1194.3900000000001</v>
      </c>
      <c r="AK50" s="3066">
        <v>1194.3900000000001</v>
      </c>
      <c r="AL50" s="3066">
        <v>34363.14</v>
      </c>
      <c r="AM50" s="3066">
        <v>34363.14</v>
      </c>
      <c r="AN50" s="3066" t="s">
        <v>3560</v>
      </c>
      <c r="AP50" s="3068">
        <f t="shared" si="0"/>
        <v>28</v>
      </c>
    </row>
    <row r="51" spans="2:42" ht="27" customHeight="1">
      <c r="B51" s="3066">
        <v>49</v>
      </c>
      <c r="C51" s="3066" t="s">
        <v>3181</v>
      </c>
      <c r="D51" s="3066" t="s">
        <v>3560</v>
      </c>
      <c r="E51" s="3066" t="s">
        <v>3812</v>
      </c>
      <c r="F51" s="3066" t="s">
        <v>3559</v>
      </c>
      <c r="G51" s="3066" t="s">
        <v>1373</v>
      </c>
      <c r="H51" s="3066" t="s">
        <v>3560</v>
      </c>
      <c r="I51" s="3066" t="s">
        <v>3813</v>
      </c>
      <c r="J51" s="3066" t="s">
        <v>3814</v>
      </c>
      <c r="K51" s="3066" t="s">
        <v>3560</v>
      </c>
      <c r="L51" s="3066" t="s">
        <v>3815</v>
      </c>
      <c r="M51" s="3066" t="s">
        <v>3816</v>
      </c>
      <c r="N51" s="3066">
        <v>1480</v>
      </c>
      <c r="O51" s="3066" t="s">
        <v>3817</v>
      </c>
      <c r="P51" s="3066" t="s">
        <v>3566</v>
      </c>
      <c r="Q51" s="3066">
        <v>4</v>
      </c>
      <c r="R51" s="3066">
        <v>101082</v>
      </c>
      <c r="S51" s="3066" t="s">
        <v>3567</v>
      </c>
      <c r="T51" s="3066">
        <v>26</v>
      </c>
      <c r="U51" s="3066">
        <v>38480</v>
      </c>
      <c r="V51" s="3066" t="s">
        <v>3560</v>
      </c>
      <c r="W51" s="3066" t="s">
        <v>3568</v>
      </c>
      <c r="X51" s="3066">
        <v>2.2999999999999998</v>
      </c>
      <c r="Y51" s="3066">
        <v>40848</v>
      </c>
      <c r="Z51" s="3066" t="s">
        <v>3568</v>
      </c>
      <c r="AA51" s="3066" t="s">
        <v>3560</v>
      </c>
      <c r="AB51" s="3066" t="s">
        <v>3818</v>
      </c>
      <c r="AC51" s="3066" t="s">
        <v>3818</v>
      </c>
      <c r="AD51" s="3066" t="s">
        <v>3818</v>
      </c>
      <c r="AE51" s="3066" t="s">
        <v>3560</v>
      </c>
      <c r="AF51" s="3067">
        <v>38480</v>
      </c>
      <c r="AG51" s="3066">
        <v>38480</v>
      </c>
      <c r="AH51" s="3066">
        <v>3404</v>
      </c>
      <c r="AI51" s="3066">
        <v>3404</v>
      </c>
      <c r="AJ51" s="3066">
        <v>8060.29</v>
      </c>
      <c r="AK51" s="3066">
        <v>8060.29</v>
      </c>
      <c r="AL51" s="3066">
        <v>49944.29</v>
      </c>
      <c r="AM51" s="3066">
        <v>49944.29</v>
      </c>
      <c r="AN51" s="3066" t="s">
        <v>3560</v>
      </c>
      <c r="AP51" s="3068">
        <f t="shared" si="0"/>
        <v>26</v>
      </c>
    </row>
    <row r="52" spans="2:42" ht="27" customHeight="1">
      <c r="B52" s="3066">
        <v>50</v>
      </c>
      <c r="C52" s="3066" t="s">
        <v>3181</v>
      </c>
      <c r="D52" s="3066" t="s">
        <v>3560</v>
      </c>
      <c r="E52" s="3066" t="s">
        <v>3819</v>
      </c>
      <c r="F52" s="3066" t="s">
        <v>3559</v>
      </c>
      <c r="G52" s="3066" t="s">
        <v>1373</v>
      </c>
      <c r="H52" s="3066" t="s">
        <v>3560</v>
      </c>
      <c r="I52" s="3066" t="s">
        <v>3820</v>
      </c>
      <c r="J52" s="3066" t="s">
        <v>3821</v>
      </c>
      <c r="K52" s="3066" t="s">
        <v>3560</v>
      </c>
      <c r="L52" s="3066" t="s">
        <v>3822</v>
      </c>
      <c r="M52" s="3066" t="s">
        <v>3823</v>
      </c>
      <c r="N52" s="3066">
        <v>680</v>
      </c>
      <c r="O52" s="3066" t="s">
        <v>3824</v>
      </c>
      <c r="P52" s="3066" t="s">
        <v>3566</v>
      </c>
      <c r="Q52" s="3066">
        <v>2</v>
      </c>
      <c r="R52" s="3066">
        <v>61491</v>
      </c>
      <c r="S52" s="3066" t="s">
        <v>3567</v>
      </c>
      <c r="T52" s="3066">
        <v>26</v>
      </c>
      <c r="U52" s="3066">
        <v>17680</v>
      </c>
      <c r="V52" s="3066" t="s">
        <v>3560</v>
      </c>
      <c r="W52" s="3066" t="s">
        <v>3568</v>
      </c>
      <c r="X52" s="3066">
        <v>2.2999999999999998</v>
      </c>
      <c r="Y52" s="3066">
        <v>18768</v>
      </c>
      <c r="Z52" s="3066" t="s">
        <v>3568</v>
      </c>
      <c r="AA52" s="3066" t="s">
        <v>3560</v>
      </c>
      <c r="AB52" s="3066" t="s">
        <v>3825</v>
      </c>
      <c r="AC52" s="3066" t="s">
        <v>3825</v>
      </c>
      <c r="AD52" s="3066" t="s">
        <v>3825</v>
      </c>
      <c r="AE52" s="3066" t="s">
        <v>3560</v>
      </c>
      <c r="AF52" s="3067">
        <v>17680</v>
      </c>
      <c r="AG52" s="3066">
        <v>17680</v>
      </c>
      <c r="AH52" s="3066">
        <v>1564</v>
      </c>
      <c r="AI52" s="3066">
        <v>1564</v>
      </c>
      <c r="AJ52" s="3066">
        <v>3644.73</v>
      </c>
      <c r="AK52" s="3066">
        <v>3644.73</v>
      </c>
      <c r="AL52" s="3066">
        <v>22888.73</v>
      </c>
      <c r="AM52" s="3066">
        <v>22888.73</v>
      </c>
      <c r="AN52" s="3066" t="s">
        <v>3560</v>
      </c>
      <c r="AP52" s="3068">
        <f t="shared" si="0"/>
        <v>26</v>
      </c>
    </row>
    <row r="53" spans="2:42" ht="27" customHeight="1">
      <c r="B53" s="3066">
        <v>51</v>
      </c>
      <c r="C53" s="3066" t="s">
        <v>3181</v>
      </c>
      <c r="D53" s="3066" t="s">
        <v>3560</v>
      </c>
      <c r="E53" s="3066" t="s">
        <v>3826</v>
      </c>
      <c r="F53" s="3066" t="s">
        <v>3559</v>
      </c>
      <c r="G53" s="3066" t="s">
        <v>1373</v>
      </c>
      <c r="H53" s="3066" t="s">
        <v>3560</v>
      </c>
      <c r="I53" s="3066" t="s">
        <v>3827</v>
      </c>
      <c r="J53" s="3066" t="s">
        <v>3828</v>
      </c>
      <c r="K53" s="3066" t="s">
        <v>3560</v>
      </c>
      <c r="L53" s="3066" t="s">
        <v>3829</v>
      </c>
      <c r="M53" s="3066" t="s">
        <v>3830</v>
      </c>
      <c r="N53" s="3066">
        <v>1078.5</v>
      </c>
      <c r="O53" s="3066" t="s">
        <v>3619</v>
      </c>
      <c r="P53" s="3066" t="s">
        <v>3566</v>
      </c>
      <c r="Q53" s="3066">
        <v>1</v>
      </c>
      <c r="R53" s="3066">
        <v>111249.75</v>
      </c>
      <c r="S53" s="3066" t="s">
        <v>3567</v>
      </c>
      <c r="T53" s="3066">
        <v>26</v>
      </c>
      <c r="U53" s="3066">
        <v>28041</v>
      </c>
      <c r="V53" s="3066" t="s">
        <v>3560</v>
      </c>
      <c r="W53" s="3066" t="s">
        <v>3568</v>
      </c>
      <c r="X53" s="3066">
        <v>2.5</v>
      </c>
      <c r="Y53" s="3066">
        <v>32355</v>
      </c>
      <c r="Z53" s="3066" t="s">
        <v>3568</v>
      </c>
      <c r="AA53" s="3066" t="s">
        <v>3560</v>
      </c>
      <c r="AB53" s="3066" t="s">
        <v>3584</v>
      </c>
      <c r="AC53" s="3066" t="s">
        <v>3584</v>
      </c>
      <c r="AD53" s="3066" t="s">
        <v>3584</v>
      </c>
      <c r="AE53" s="3066" t="s">
        <v>3560</v>
      </c>
      <c r="AF53" s="3067">
        <v>28041</v>
      </c>
      <c r="AG53" s="3066">
        <v>28041</v>
      </c>
      <c r="AH53" s="3066">
        <v>2696.25</v>
      </c>
      <c r="AI53" s="3066">
        <v>2696.25</v>
      </c>
      <c r="AJ53" s="3066">
        <v>6352.32</v>
      </c>
      <c r="AK53" s="3066">
        <v>6352.32</v>
      </c>
      <c r="AL53" s="3066">
        <v>37089.57</v>
      </c>
      <c r="AM53" s="3066">
        <v>37089.57</v>
      </c>
      <c r="AN53" s="3066" t="s">
        <v>3560</v>
      </c>
      <c r="AP53" s="3068">
        <f t="shared" si="0"/>
        <v>26</v>
      </c>
    </row>
    <row r="54" spans="2:42" ht="27" customHeight="1">
      <c r="B54" s="3066">
        <v>52</v>
      </c>
      <c r="C54" s="3066" t="s">
        <v>3181</v>
      </c>
      <c r="D54" s="3066" t="s">
        <v>3560</v>
      </c>
      <c r="E54" s="3066" t="s">
        <v>3831</v>
      </c>
      <c r="F54" s="3066" t="s">
        <v>3559</v>
      </c>
      <c r="G54" s="3066" t="s">
        <v>1373</v>
      </c>
      <c r="H54" s="3066" t="s">
        <v>3560</v>
      </c>
      <c r="I54" s="3066" t="s">
        <v>3832</v>
      </c>
      <c r="J54" s="3066" t="s">
        <v>3833</v>
      </c>
      <c r="K54" s="3066" t="s">
        <v>3560</v>
      </c>
      <c r="L54" s="3066" t="s">
        <v>3834</v>
      </c>
      <c r="M54" s="3066" t="s">
        <v>3835</v>
      </c>
      <c r="N54" s="3066">
        <v>1078.5</v>
      </c>
      <c r="O54" s="3066" t="s">
        <v>3619</v>
      </c>
      <c r="P54" s="3066" t="s">
        <v>3566</v>
      </c>
      <c r="Q54" s="3066">
        <v>1</v>
      </c>
      <c r="R54" s="3066">
        <v>99783.75</v>
      </c>
      <c r="S54" s="3066" t="s">
        <v>3567</v>
      </c>
      <c r="T54" s="3066">
        <v>26</v>
      </c>
      <c r="U54" s="3066">
        <v>28041</v>
      </c>
      <c r="V54" s="3066" t="s">
        <v>3560</v>
      </c>
      <c r="W54" s="3066" t="s">
        <v>3568</v>
      </c>
      <c r="X54" s="3066">
        <v>2.5</v>
      </c>
      <c r="Y54" s="3066">
        <v>32355</v>
      </c>
      <c r="Z54" s="3066" t="s">
        <v>3568</v>
      </c>
      <c r="AA54" s="3066" t="s">
        <v>3560</v>
      </c>
      <c r="AB54" s="3066" t="s">
        <v>3584</v>
      </c>
      <c r="AC54" s="3066" t="s">
        <v>3584</v>
      </c>
      <c r="AD54" s="3066" t="s">
        <v>3584</v>
      </c>
      <c r="AE54" s="3066" t="s">
        <v>3560</v>
      </c>
      <c r="AF54" s="3067">
        <v>28041</v>
      </c>
      <c r="AG54" s="3066">
        <v>28041</v>
      </c>
      <c r="AH54" s="3066">
        <v>2696.25</v>
      </c>
      <c r="AI54" s="3066">
        <v>2696.25</v>
      </c>
      <c r="AJ54" s="3066">
        <v>4566.1499999999996</v>
      </c>
      <c r="AK54" s="3066">
        <v>4566.1499999999996</v>
      </c>
      <c r="AL54" s="3066">
        <v>35303.4</v>
      </c>
      <c r="AM54" s="3066">
        <v>35303.4</v>
      </c>
      <c r="AN54" s="3066" t="s">
        <v>3560</v>
      </c>
      <c r="AP54" s="3068">
        <f t="shared" si="0"/>
        <v>26</v>
      </c>
    </row>
    <row r="55" spans="2:42" ht="27" customHeight="1">
      <c r="B55" s="3066">
        <v>53</v>
      </c>
      <c r="C55" s="3066" t="s">
        <v>3181</v>
      </c>
      <c r="D55" s="3066" t="s">
        <v>3585</v>
      </c>
      <c r="E55" s="3066" t="s">
        <v>3836</v>
      </c>
      <c r="F55" s="3066" t="s">
        <v>3559</v>
      </c>
      <c r="G55" s="3066" t="s">
        <v>1373</v>
      </c>
      <c r="H55" s="3066" t="s">
        <v>3560</v>
      </c>
      <c r="I55" s="3066" t="s">
        <v>3837</v>
      </c>
      <c r="J55" s="3066" t="s">
        <v>3838</v>
      </c>
      <c r="K55" s="3066" t="s">
        <v>3560</v>
      </c>
      <c r="L55" s="3066" t="s">
        <v>3839</v>
      </c>
      <c r="M55" s="3066" t="s">
        <v>3840</v>
      </c>
      <c r="N55" s="3066">
        <v>2157</v>
      </c>
      <c r="O55" s="3066" t="s">
        <v>3641</v>
      </c>
      <c r="P55" s="3066" t="s">
        <v>3566</v>
      </c>
      <c r="Q55" s="3066">
        <v>2</v>
      </c>
      <c r="R55" s="3066">
        <v>190343.5</v>
      </c>
      <c r="S55" s="3066" t="s">
        <v>3567</v>
      </c>
      <c r="T55" s="3066">
        <v>24</v>
      </c>
      <c r="U55" s="3066">
        <v>51768</v>
      </c>
      <c r="V55" s="3066" t="s">
        <v>3560</v>
      </c>
      <c r="W55" s="3066" t="s">
        <v>3568</v>
      </c>
      <c r="X55" s="3066">
        <v>2.5</v>
      </c>
      <c r="Y55" s="3066">
        <v>64710</v>
      </c>
      <c r="Z55" s="3066" t="s">
        <v>3568</v>
      </c>
      <c r="AA55" s="3066" t="s">
        <v>3560</v>
      </c>
      <c r="AB55" s="3066" t="s">
        <v>3642</v>
      </c>
      <c r="AC55" s="3066" t="s">
        <v>3642</v>
      </c>
      <c r="AD55" s="3066" t="s">
        <v>3642</v>
      </c>
      <c r="AE55" s="3066" t="s">
        <v>3560</v>
      </c>
      <c r="AF55" s="3067">
        <v>51768</v>
      </c>
      <c r="AG55" s="3066">
        <v>0</v>
      </c>
      <c r="AH55" s="3066">
        <v>5392.5</v>
      </c>
      <c r="AI55" s="3066">
        <v>0</v>
      </c>
      <c r="AJ55" s="3066">
        <v>12794.69</v>
      </c>
      <c r="AK55" s="3066">
        <v>0</v>
      </c>
      <c r="AL55" s="3066">
        <v>69955.19</v>
      </c>
      <c r="AM55" s="3066">
        <v>0</v>
      </c>
      <c r="AN55" s="3066" t="s">
        <v>3560</v>
      </c>
      <c r="AP55" s="3068">
        <f t="shared" si="0"/>
        <v>24</v>
      </c>
    </row>
    <row r="56" spans="2:42" ht="27" customHeight="1">
      <c r="B56" s="3066">
        <v>54</v>
      </c>
      <c r="C56" s="3066" t="s">
        <v>3181</v>
      </c>
      <c r="D56" s="3066" t="s">
        <v>3841</v>
      </c>
      <c r="E56" s="3066" t="s">
        <v>3842</v>
      </c>
      <c r="F56" s="3066" t="s">
        <v>3559</v>
      </c>
      <c r="G56" s="3066" t="s">
        <v>1373</v>
      </c>
      <c r="H56" s="3066" t="s">
        <v>3560</v>
      </c>
      <c r="I56" s="3066" t="s">
        <v>3632</v>
      </c>
      <c r="J56" s="3066" t="s">
        <v>3633</v>
      </c>
      <c r="K56" s="3066" t="s">
        <v>3560</v>
      </c>
      <c r="L56" s="3066" t="s">
        <v>3634</v>
      </c>
      <c r="M56" s="3066" t="s">
        <v>3843</v>
      </c>
      <c r="N56" s="3066">
        <v>2157</v>
      </c>
      <c r="O56" s="3066" t="s">
        <v>3844</v>
      </c>
      <c r="P56" s="3066" t="s">
        <v>3566</v>
      </c>
      <c r="Q56" s="3066">
        <v>3</v>
      </c>
      <c r="R56" s="3066">
        <v>158541</v>
      </c>
      <c r="S56" s="3066" t="s">
        <v>3567</v>
      </c>
      <c r="T56" s="3066">
        <v>22</v>
      </c>
      <c r="U56" s="3066">
        <v>47454</v>
      </c>
      <c r="V56" s="3066" t="s">
        <v>3560</v>
      </c>
      <c r="W56" s="3066" t="s">
        <v>3568</v>
      </c>
      <c r="X56" s="3066">
        <v>2.5</v>
      </c>
      <c r="Y56" s="3066">
        <v>64710</v>
      </c>
      <c r="Z56" s="3066" t="s">
        <v>3568</v>
      </c>
      <c r="AA56" s="3066" t="s">
        <v>3560</v>
      </c>
      <c r="AB56" s="3066" t="s">
        <v>3845</v>
      </c>
      <c r="AC56" s="3066" t="s">
        <v>3845</v>
      </c>
      <c r="AD56" s="3066" t="s">
        <v>3845</v>
      </c>
      <c r="AE56" s="3066" t="s">
        <v>3560</v>
      </c>
      <c r="AF56" s="3067">
        <v>47454</v>
      </c>
      <c r="AG56" s="3066">
        <v>47454</v>
      </c>
      <c r="AH56" s="3066">
        <v>5392.5</v>
      </c>
      <c r="AI56" s="3066">
        <v>5392.5</v>
      </c>
      <c r="AJ56" s="3066">
        <v>5424.73</v>
      </c>
      <c r="AK56" s="3066">
        <v>5424.73</v>
      </c>
      <c r="AL56" s="3066">
        <v>58271.23</v>
      </c>
      <c r="AM56" s="3066">
        <v>58271.23</v>
      </c>
      <c r="AN56" s="3066" t="s">
        <v>3560</v>
      </c>
      <c r="AP56" s="3068">
        <f t="shared" si="0"/>
        <v>22</v>
      </c>
    </row>
    <row r="57" spans="2:42" ht="27" customHeight="1">
      <c r="B57" s="3066">
        <v>55</v>
      </c>
      <c r="C57" s="3066" t="s">
        <v>3846</v>
      </c>
      <c r="D57" s="3066" t="s">
        <v>3791</v>
      </c>
      <c r="E57" s="3066" t="s">
        <v>3847</v>
      </c>
      <c r="F57" s="3066" t="s">
        <v>3559</v>
      </c>
      <c r="G57" s="3066" t="s">
        <v>1373</v>
      </c>
      <c r="H57" s="3066" t="s">
        <v>3560</v>
      </c>
      <c r="I57" s="3066" t="s">
        <v>3793</v>
      </c>
      <c r="J57" s="3066" t="s">
        <v>3794</v>
      </c>
      <c r="K57" s="3066" t="s">
        <v>3560</v>
      </c>
      <c r="L57" s="3066" t="s">
        <v>3795</v>
      </c>
      <c r="M57" s="3066" t="s">
        <v>3848</v>
      </c>
      <c r="N57" s="3066">
        <v>2176</v>
      </c>
      <c r="O57" s="3066" t="s">
        <v>3797</v>
      </c>
      <c r="P57" s="3066" t="s">
        <v>3566</v>
      </c>
      <c r="Q57" s="3066">
        <v>2</v>
      </c>
      <c r="R57" s="3066">
        <v>26982.5</v>
      </c>
      <c r="S57" s="3066" t="s">
        <v>3567</v>
      </c>
      <c r="T57" s="3066">
        <v>31</v>
      </c>
      <c r="U57" s="3066">
        <v>67456</v>
      </c>
      <c r="V57" s="3066" t="s">
        <v>3560</v>
      </c>
      <c r="W57" s="3066" t="s">
        <v>3568</v>
      </c>
      <c r="X57" s="3066">
        <v>2</v>
      </c>
      <c r="Y57" s="3066">
        <v>52224</v>
      </c>
      <c r="Z57" s="3066" t="s">
        <v>3568</v>
      </c>
      <c r="AA57" s="3066" t="s">
        <v>3560</v>
      </c>
      <c r="AB57" s="3066" t="s">
        <v>3798</v>
      </c>
      <c r="AC57" s="3066" t="s">
        <v>3798</v>
      </c>
      <c r="AD57" s="3066" t="s">
        <v>3798</v>
      </c>
      <c r="AE57" s="3066" t="s">
        <v>3560</v>
      </c>
      <c r="AF57" s="3067">
        <v>67456</v>
      </c>
      <c r="AG57" s="3066">
        <v>67456</v>
      </c>
      <c r="AH57" s="3066">
        <v>4352</v>
      </c>
      <c r="AI57" s="3066">
        <v>4352</v>
      </c>
      <c r="AJ57" s="3066">
        <v>102252.73</v>
      </c>
      <c r="AK57" s="3066">
        <v>102252.73</v>
      </c>
      <c r="AL57" s="3066">
        <v>174060.73</v>
      </c>
      <c r="AM57" s="3066">
        <v>174060.73</v>
      </c>
      <c r="AN57" s="3066" t="s">
        <v>3560</v>
      </c>
      <c r="AP57" s="3068">
        <f t="shared" si="0"/>
        <v>31</v>
      </c>
    </row>
    <row r="58" spans="2:42" ht="27" customHeight="1">
      <c r="B58" s="3066">
        <v>56</v>
      </c>
      <c r="C58" s="3066" t="s">
        <v>3846</v>
      </c>
      <c r="D58" s="3066" t="s">
        <v>3849</v>
      </c>
      <c r="E58" s="3066" t="s">
        <v>3850</v>
      </c>
      <c r="F58" s="3066" t="s">
        <v>3559</v>
      </c>
      <c r="G58" s="3066" t="s">
        <v>1373</v>
      </c>
      <c r="H58" s="3066" t="s">
        <v>3560</v>
      </c>
      <c r="I58" s="3066" t="s">
        <v>3793</v>
      </c>
      <c r="J58" s="3066" t="s">
        <v>3794</v>
      </c>
      <c r="K58" s="3066" t="s">
        <v>3560</v>
      </c>
      <c r="L58" s="3066" t="s">
        <v>3795</v>
      </c>
      <c r="M58" s="3066" t="s">
        <v>3851</v>
      </c>
      <c r="N58" s="3066">
        <v>2176</v>
      </c>
      <c r="O58" s="3066" t="s">
        <v>3797</v>
      </c>
      <c r="P58" s="3066" t="s">
        <v>3566</v>
      </c>
      <c r="Q58" s="3066">
        <v>2</v>
      </c>
      <c r="R58" s="3066">
        <v>31334</v>
      </c>
      <c r="S58" s="3066" t="s">
        <v>3567</v>
      </c>
      <c r="T58" s="3066">
        <v>27</v>
      </c>
      <c r="U58" s="3066">
        <v>58752</v>
      </c>
      <c r="V58" s="3066" t="s">
        <v>3560</v>
      </c>
      <c r="W58" s="3066" t="s">
        <v>3568</v>
      </c>
      <c r="X58" s="3066">
        <v>2.5</v>
      </c>
      <c r="Y58" s="3066">
        <v>65280</v>
      </c>
      <c r="Z58" s="3066" t="s">
        <v>3568</v>
      </c>
      <c r="AA58" s="3066" t="s">
        <v>3560</v>
      </c>
      <c r="AB58" s="3066" t="s">
        <v>3798</v>
      </c>
      <c r="AC58" s="3066" t="s">
        <v>3798</v>
      </c>
      <c r="AD58" s="3066" t="s">
        <v>3798</v>
      </c>
      <c r="AE58" s="3066" t="s">
        <v>3560</v>
      </c>
      <c r="AF58" s="3067">
        <v>58752</v>
      </c>
      <c r="AG58" s="3066">
        <v>58752</v>
      </c>
      <c r="AH58" s="3066">
        <v>5440</v>
      </c>
      <c r="AI58" s="3066">
        <v>5440</v>
      </c>
      <c r="AJ58" s="3066">
        <v>111.44</v>
      </c>
      <c r="AK58" s="3066">
        <v>111.44</v>
      </c>
      <c r="AL58" s="3066">
        <v>64303.44</v>
      </c>
      <c r="AM58" s="3066">
        <v>64303.44</v>
      </c>
      <c r="AN58" s="3066" t="s">
        <v>3560</v>
      </c>
      <c r="AP58" s="3068">
        <f t="shared" si="0"/>
        <v>27</v>
      </c>
    </row>
    <row r="59" spans="2:42" ht="27" customHeight="1">
      <c r="B59" s="3066">
        <v>57</v>
      </c>
      <c r="C59" s="3066" t="s">
        <v>3846</v>
      </c>
      <c r="D59" s="3066" t="s">
        <v>3560</v>
      </c>
      <c r="E59" s="3066" t="s">
        <v>3852</v>
      </c>
      <c r="F59" s="3066" t="s">
        <v>3559</v>
      </c>
      <c r="G59" s="3066" t="s">
        <v>1373</v>
      </c>
      <c r="H59" s="3066" t="s">
        <v>3560</v>
      </c>
      <c r="I59" s="3066" t="s">
        <v>3853</v>
      </c>
      <c r="J59" s="3066" t="s">
        <v>3854</v>
      </c>
      <c r="K59" s="3066" t="s">
        <v>3560</v>
      </c>
      <c r="L59" s="3066" t="s">
        <v>3855</v>
      </c>
      <c r="M59" s="3066" t="s">
        <v>3856</v>
      </c>
      <c r="N59" s="3066">
        <v>1088</v>
      </c>
      <c r="O59" s="3066" t="s">
        <v>3619</v>
      </c>
      <c r="P59" s="3066" t="s">
        <v>3566</v>
      </c>
      <c r="Q59" s="3066">
        <v>1</v>
      </c>
      <c r="R59" s="3066">
        <v>116400.2</v>
      </c>
      <c r="S59" s="3066" t="s">
        <v>3567</v>
      </c>
      <c r="T59" s="3066">
        <v>28</v>
      </c>
      <c r="U59" s="3066">
        <v>30464</v>
      </c>
      <c r="V59" s="3066" t="s">
        <v>3560</v>
      </c>
      <c r="W59" s="3066" t="s">
        <v>3568</v>
      </c>
      <c r="X59" s="3066">
        <v>2.5</v>
      </c>
      <c r="Y59" s="3066">
        <v>32640</v>
      </c>
      <c r="Z59" s="3066" t="s">
        <v>3568</v>
      </c>
      <c r="AA59" s="3066" t="s">
        <v>3560</v>
      </c>
      <c r="AB59" s="3066" t="s">
        <v>3584</v>
      </c>
      <c r="AC59" s="3066" t="s">
        <v>3584</v>
      </c>
      <c r="AD59" s="3066" t="s">
        <v>3584</v>
      </c>
      <c r="AE59" s="3066" t="s">
        <v>3560</v>
      </c>
      <c r="AF59" s="3067">
        <v>30464</v>
      </c>
      <c r="AG59" s="3066">
        <v>30464</v>
      </c>
      <c r="AH59" s="3066">
        <v>2720</v>
      </c>
      <c r="AI59" s="3066">
        <v>2720</v>
      </c>
      <c r="AJ59" s="3066">
        <v>3375.26</v>
      </c>
      <c r="AK59" s="3066">
        <v>3375.26</v>
      </c>
      <c r="AL59" s="3066">
        <v>36559.26</v>
      </c>
      <c r="AM59" s="3066">
        <v>36559.26</v>
      </c>
      <c r="AN59" s="3066" t="s">
        <v>3560</v>
      </c>
      <c r="AP59" s="3068">
        <f t="shared" si="0"/>
        <v>28</v>
      </c>
    </row>
    <row r="60" spans="2:42" ht="27" customHeight="1">
      <c r="B60" s="3066">
        <v>58</v>
      </c>
      <c r="C60" s="3066" t="s">
        <v>3846</v>
      </c>
      <c r="D60" s="3066" t="s">
        <v>3560</v>
      </c>
      <c r="E60" s="3066" t="s">
        <v>3857</v>
      </c>
      <c r="F60" s="3066" t="s">
        <v>3559</v>
      </c>
      <c r="G60" s="3066" t="s">
        <v>1373</v>
      </c>
      <c r="H60" s="3066" t="s">
        <v>3560</v>
      </c>
      <c r="I60" s="3066" t="s">
        <v>3793</v>
      </c>
      <c r="J60" s="3066" t="s">
        <v>3794</v>
      </c>
      <c r="K60" s="3066" t="s">
        <v>3560</v>
      </c>
      <c r="L60" s="3066" t="s">
        <v>3795</v>
      </c>
      <c r="M60" s="3066" t="s">
        <v>3858</v>
      </c>
      <c r="N60" s="3066">
        <v>1088</v>
      </c>
      <c r="O60" s="3066" t="s">
        <v>3797</v>
      </c>
      <c r="P60" s="3066" t="s">
        <v>3566</v>
      </c>
      <c r="Q60" s="3066">
        <v>2</v>
      </c>
      <c r="R60" s="3066">
        <v>13491</v>
      </c>
      <c r="S60" s="3066" t="s">
        <v>3567</v>
      </c>
      <c r="T60" s="3066">
        <v>25</v>
      </c>
      <c r="U60" s="3066">
        <v>27200</v>
      </c>
      <c r="V60" s="3066" t="s">
        <v>3560</v>
      </c>
      <c r="W60" s="3066" t="s">
        <v>3568</v>
      </c>
      <c r="X60" s="3066">
        <v>2.5</v>
      </c>
      <c r="Y60" s="3066">
        <v>32640</v>
      </c>
      <c r="Z60" s="3066" t="s">
        <v>3568</v>
      </c>
      <c r="AA60" s="3066" t="s">
        <v>3560</v>
      </c>
      <c r="AB60" s="3066" t="s">
        <v>3798</v>
      </c>
      <c r="AC60" s="3066" t="s">
        <v>3798</v>
      </c>
      <c r="AD60" s="3066" t="s">
        <v>3798</v>
      </c>
      <c r="AE60" s="3066" t="s">
        <v>3560</v>
      </c>
      <c r="AF60" s="3067">
        <v>27200</v>
      </c>
      <c r="AG60" s="3066">
        <v>27200</v>
      </c>
      <c r="AH60" s="3066">
        <v>2720</v>
      </c>
      <c r="AI60" s="3066">
        <v>2720</v>
      </c>
      <c r="AJ60" s="3066">
        <v>17.600000000000001</v>
      </c>
      <c r="AK60" s="3066">
        <v>17.600000000000001</v>
      </c>
      <c r="AL60" s="3066">
        <v>29937.599999999999</v>
      </c>
      <c r="AM60" s="3066">
        <v>29937.599999999999</v>
      </c>
      <c r="AN60" s="3066" t="s">
        <v>3560</v>
      </c>
      <c r="AP60" s="3068">
        <f t="shared" si="0"/>
        <v>25</v>
      </c>
    </row>
    <row r="61" spans="2:42" ht="27" customHeight="1">
      <c r="B61" s="3066">
        <v>59</v>
      </c>
      <c r="C61" s="3066" t="s">
        <v>3846</v>
      </c>
      <c r="D61" s="3066" t="s">
        <v>3560</v>
      </c>
      <c r="E61" s="3066" t="s">
        <v>3859</v>
      </c>
      <c r="F61" s="3066" t="s">
        <v>3559</v>
      </c>
      <c r="G61" s="3066" t="s">
        <v>1373</v>
      </c>
      <c r="H61" s="3066" t="s">
        <v>3560</v>
      </c>
      <c r="I61" s="3066" t="s">
        <v>3860</v>
      </c>
      <c r="J61" s="3066" t="s">
        <v>3861</v>
      </c>
      <c r="K61" s="3066" t="s">
        <v>3560</v>
      </c>
      <c r="L61" s="3066" t="s">
        <v>3862</v>
      </c>
      <c r="M61" s="3066" t="s">
        <v>3863</v>
      </c>
      <c r="N61" s="3066">
        <v>1088</v>
      </c>
      <c r="O61" s="3066" t="s">
        <v>3641</v>
      </c>
      <c r="P61" s="3066" t="s">
        <v>3566</v>
      </c>
      <c r="Q61" s="3066">
        <v>2</v>
      </c>
      <c r="R61" s="3066">
        <v>185265.1</v>
      </c>
      <c r="S61" s="3066" t="s">
        <v>3567</v>
      </c>
      <c r="T61" s="3066">
        <v>26</v>
      </c>
      <c r="U61" s="3066">
        <v>28288</v>
      </c>
      <c r="V61" s="3066" t="s">
        <v>3560</v>
      </c>
      <c r="W61" s="3066" t="s">
        <v>3568</v>
      </c>
      <c r="X61" s="3066">
        <v>2.5</v>
      </c>
      <c r="Y61" s="3066">
        <v>32640</v>
      </c>
      <c r="Z61" s="3066" t="s">
        <v>3568</v>
      </c>
      <c r="AA61" s="3066" t="s">
        <v>3560</v>
      </c>
      <c r="AB61" s="3066" t="s">
        <v>3642</v>
      </c>
      <c r="AC61" s="3066" t="s">
        <v>3642</v>
      </c>
      <c r="AD61" s="3066" t="s">
        <v>3642</v>
      </c>
      <c r="AE61" s="3066" t="s">
        <v>3560</v>
      </c>
      <c r="AF61" s="3067">
        <v>28288</v>
      </c>
      <c r="AG61" s="3066">
        <v>28288</v>
      </c>
      <c r="AH61" s="3066">
        <v>2720</v>
      </c>
      <c r="AI61" s="3066">
        <v>2720</v>
      </c>
      <c r="AJ61" s="3066">
        <v>2963.4</v>
      </c>
      <c r="AK61" s="3066">
        <v>2963.4</v>
      </c>
      <c r="AL61" s="3066">
        <v>33971.4</v>
      </c>
      <c r="AM61" s="3066">
        <v>33971.4</v>
      </c>
      <c r="AN61" s="3066" t="s">
        <v>3560</v>
      </c>
      <c r="AP61" s="3068">
        <f t="shared" si="0"/>
        <v>26</v>
      </c>
    </row>
    <row r="62" spans="2:42" ht="27" customHeight="1">
      <c r="B62" s="3066">
        <v>60</v>
      </c>
      <c r="C62" s="3066" t="s">
        <v>3846</v>
      </c>
      <c r="D62" s="3066" t="s">
        <v>3560</v>
      </c>
      <c r="E62" s="3066" t="s">
        <v>3864</v>
      </c>
      <c r="F62" s="3066" t="s">
        <v>3559</v>
      </c>
      <c r="G62" s="3066" t="s">
        <v>3560</v>
      </c>
      <c r="H62" s="3066" t="s">
        <v>3560</v>
      </c>
      <c r="I62" s="3066" t="s">
        <v>3865</v>
      </c>
      <c r="J62" s="3066" t="s">
        <v>3866</v>
      </c>
      <c r="K62" s="3066" t="s">
        <v>3560</v>
      </c>
      <c r="L62" s="3066" t="s">
        <v>3867</v>
      </c>
      <c r="M62" s="3066" t="s">
        <v>3868</v>
      </c>
      <c r="N62" s="3066">
        <v>523</v>
      </c>
      <c r="O62" s="3066" t="s">
        <v>3619</v>
      </c>
      <c r="P62" s="3066" t="s">
        <v>3566</v>
      </c>
      <c r="Q62" s="3066">
        <v>1</v>
      </c>
      <c r="R62" s="3066">
        <v>38440.5</v>
      </c>
      <c r="S62" s="3066" t="s">
        <v>3567</v>
      </c>
      <c r="T62" s="3066">
        <v>22</v>
      </c>
      <c r="U62" s="3066">
        <v>11506</v>
      </c>
      <c r="V62" s="3066" t="s">
        <v>3560</v>
      </c>
      <c r="W62" s="3066" t="s">
        <v>3568</v>
      </c>
      <c r="X62" s="3066">
        <v>2.5</v>
      </c>
      <c r="Y62" s="3066">
        <v>15690</v>
      </c>
      <c r="Z62" s="3066" t="s">
        <v>3568</v>
      </c>
      <c r="AA62" s="3066" t="s">
        <v>3560</v>
      </c>
      <c r="AB62" s="3066" t="s">
        <v>3584</v>
      </c>
      <c r="AC62" s="3066" t="s">
        <v>3584</v>
      </c>
      <c r="AD62" s="3066" t="s">
        <v>3584</v>
      </c>
      <c r="AE62" s="3066" t="s">
        <v>3560</v>
      </c>
      <c r="AF62" s="3067">
        <v>11506</v>
      </c>
      <c r="AG62" s="3066">
        <v>11506</v>
      </c>
      <c r="AH62" s="3066">
        <v>1307.5</v>
      </c>
      <c r="AI62" s="3066">
        <v>1307.5</v>
      </c>
      <c r="AJ62" s="3066">
        <v>1026.06</v>
      </c>
      <c r="AK62" s="3066">
        <v>1026.06</v>
      </c>
      <c r="AL62" s="3066">
        <v>13839.56</v>
      </c>
      <c r="AM62" s="3066">
        <v>13839.56</v>
      </c>
      <c r="AN62" s="3066" t="s">
        <v>3560</v>
      </c>
      <c r="AP62" s="3068">
        <f t="shared" si="0"/>
        <v>22</v>
      </c>
    </row>
    <row r="63" spans="2:42" ht="27" customHeight="1">
      <c r="B63" s="3066">
        <v>61</v>
      </c>
      <c r="C63" s="3066" t="s">
        <v>3846</v>
      </c>
      <c r="D63" s="3066" t="s">
        <v>3560</v>
      </c>
      <c r="E63" s="3066" t="s">
        <v>3869</v>
      </c>
      <c r="F63" s="3066" t="s">
        <v>3559</v>
      </c>
      <c r="G63" s="3066" t="s">
        <v>1373</v>
      </c>
      <c r="H63" s="3066" t="s">
        <v>3560</v>
      </c>
      <c r="I63" s="3066" t="s">
        <v>3870</v>
      </c>
      <c r="J63" s="3066" t="s">
        <v>3871</v>
      </c>
      <c r="K63" s="3066" t="s">
        <v>3560</v>
      </c>
      <c r="L63" s="3066" t="s">
        <v>3872</v>
      </c>
      <c r="M63" s="3066" t="s">
        <v>3873</v>
      </c>
      <c r="N63" s="3066">
        <v>570</v>
      </c>
      <c r="O63" s="3066" t="s">
        <v>3619</v>
      </c>
      <c r="P63" s="3066" t="s">
        <v>3566</v>
      </c>
      <c r="Q63" s="3066">
        <v>1</v>
      </c>
      <c r="R63" s="3066">
        <v>47679</v>
      </c>
      <c r="S63" s="3066" t="s">
        <v>3567</v>
      </c>
      <c r="T63" s="3066">
        <v>22</v>
      </c>
      <c r="U63" s="3066">
        <v>12540</v>
      </c>
      <c r="V63" s="3066" t="s">
        <v>3560</v>
      </c>
      <c r="W63" s="3066" t="s">
        <v>3568</v>
      </c>
      <c r="X63" s="3066">
        <v>2.5</v>
      </c>
      <c r="Y63" s="3066">
        <v>17100</v>
      </c>
      <c r="Z63" s="3066" t="s">
        <v>3568</v>
      </c>
      <c r="AA63" s="3066" t="s">
        <v>3560</v>
      </c>
      <c r="AB63" s="3066" t="s">
        <v>3584</v>
      </c>
      <c r="AC63" s="3066" t="s">
        <v>3584</v>
      </c>
      <c r="AD63" s="3066" t="s">
        <v>3584</v>
      </c>
      <c r="AE63" s="3066" t="s">
        <v>3560</v>
      </c>
      <c r="AF63" s="3067">
        <v>12540</v>
      </c>
      <c r="AG63" s="3066">
        <v>12540</v>
      </c>
      <c r="AH63" s="3066">
        <v>1425</v>
      </c>
      <c r="AI63" s="3066">
        <v>1425</v>
      </c>
      <c r="AJ63" s="3066">
        <v>2323.12</v>
      </c>
      <c r="AK63" s="3066">
        <v>2323.12</v>
      </c>
      <c r="AL63" s="3066">
        <v>16288.12</v>
      </c>
      <c r="AM63" s="3066">
        <v>16288.12</v>
      </c>
      <c r="AN63" s="3066" t="s">
        <v>3560</v>
      </c>
      <c r="AP63" s="3068">
        <f t="shared" si="0"/>
        <v>22</v>
      </c>
    </row>
    <row r="64" spans="2:42" ht="27" customHeight="1">
      <c r="B64" s="3066">
        <v>62</v>
      </c>
      <c r="C64" s="3066" t="s">
        <v>3874</v>
      </c>
      <c r="D64" s="3066" t="s">
        <v>3560</v>
      </c>
      <c r="E64" s="3066" t="s">
        <v>3875</v>
      </c>
      <c r="F64" s="3066" t="s">
        <v>3559</v>
      </c>
      <c r="G64" s="3066" t="s">
        <v>3560</v>
      </c>
      <c r="H64" s="3066" t="s">
        <v>3560</v>
      </c>
      <c r="I64" s="3066" t="s">
        <v>3560</v>
      </c>
      <c r="J64" s="3066" t="s">
        <v>3560</v>
      </c>
      <c r="K64" s="3066" t="s">
        <v>3560</v>
      </c>
      <c r="L64" s="3066" t="s">
        <v>3560</v>
      </c>
      <c r="M64" s="3066" t="s">
        <v>3876</v>
      </c>
      <c r="N64" s="3066">
        <v>547</v>
      </c>
      <c r="O64" s="3066" t="s">
        <v>3560</v>
      </c>
      <c r="P64" s="3066" t="s">
        <v>3560</v>
      </c>
      <c r="Q64" s="3066">
        <v>0</v>
      </c>
      <c r="R64" s="3066">
        <v>0</v>
      </c>
      <c r="S64" s="3066" t="s">
        <v>3577</v>
      </c>
      <c r="T64" s="3066">
        <v>0</v>
      </c>
      <c r="U64" s="3066">
        <v>0</v>
      </c>
      <c r="V64" s="3066" t="s">
        <v>3560</v>
      </c>
      <c r="W64" s="3066" t="s">
        <v>3568</v>
      </c>
      <c r="X64" s="3066">
        <v>0</v>
      </c>
      <c r="Y64" s="3066">
        <v>0</v>
      </c>
      <c r="Z64" s="3066" t="s">
        <v>3568</v>
      </c>
      <c r="AA64" s="3066" t="s">
        <v>3560</v>
      </c>
      <c r="AB64" s="3066" t="s">
        <v>3560</v>
      </c>
      <c r="AC64" s="3066" t="s">
        <v>3560</v>
      </c>
      <c r="AD64" s="3066" t="s">
        <v>3560</v>
      </c>
      <c r="AE64" s="3066" t="s">
        <v>3560</v>
      </c>
      <c r="AF64" s="3067">
        <v>0</v>
      </c>
      <c r="AG64" s="3066">
        <v>0</v>
      </c>
      <c r="AH64" s="3066">
        <v>0</v>
      </c>
      <c r="AI64" s="3066">
        <v>0</v>
      </c>
      <c r="AJ64" s="3066">
        <v>0</v>
      </c>
      <c r="AK64" s="3066">
        <v>0</v>
      </c>
      <c r="AL64" s="3066">
        <v>0</v>
      </c>
      <c r="AM64" s="3066">
        <v>0</v>
      </c>
      <c r="AN64" s="3066" t="s">
        <v>3560</v>
      </c>
      <c r="AP64" s="3068">
        <f t="shared" si="0"/>
        <v>0</v>
      </c>
    </row>
    <row r="65" spans="2:42" ht="27" customHeight="1">
      <c r="B65" s="3066">
        <v>63</v>
      </c>
      <c r="C65" s="3066" t="s">
        <v>3877</v>
      </c>
      <c r="D65" s="3066" t="s">
        <v>3560</v>
      </c>
      <c r="E65" s="3066" t="s">
        <v>3878</v>
      </c>
      <c r="F65" s="3066" t="s">
        <v>3559</v>
      </c>
      <c r="G65" s="3066" t="s">
        <v>1373</v>
      </c>
      <c r="H65" s="3066" t="s">
        <v>3560</v>
      </c>
      <c r="I65" s="3066" t="s">
        <v>3879</v>
      </c>
      <c r="J65" s="3066" t="s">
        <v>3880</v>
      </c>
      <c r="K65" s="3066" t="s">
        <v>3560</v>
      </c>
      <c r="L65" s="3066" t="s">
        <v>3881</v>
      </c>
      <c r="M65" s="3066" t="s">
        <v>3882</v>
      </c>
      <c r="N65" s="3066">
        <v>1113</v>
      </c>
      <c r="O65" s="3066" t="s">
        <v>3883</v>
      </c>
      <c r="P65" s="3066" t="s">
        <v>3566</v>
      </c>
      <c r="Q65" s="3066">
        <v>6</v>
      </c>
      <c r="R65" s="3066">
        <v>367224</v>
      </c>
      <c r="S65" s="3066" t="s">
        <v>3567</v>
      </c>
      <c r="T65" s="3066">
        <v>17.850000000000001</v>
      </c>
      <c r="U65" s="3066">
        <v>19867.05</v>
      </c>
      <c r="V65" s="3066" t="s">
        <v>3560</v>
      </c>
      <c r="W65" s="3066" t="s">
        <v>3568</v>
      </c>
      <c r="X65" s="3066">
        <v>1.5</v>
      </c>
      <c r="Y65" s="3066">
        <v>20034</v>
      </c>
      <c r="Z65" s="3066" t="s">
        <v>3568</v>
      </c>
      <c r="AA65" s="3066" t="s">
        <v>3560</v>
      </c>
      <c r="AB65" s="3066" t="s">
        <v>3884</v>
      </c>
      <c r="AC65" s="3066" t="s">
        <v>3884</v>
      </c>
      <c r="AD65" s="3066" t="s">
        <v>3884</v>
      </c>
      <c r="AE65" s="3066" t="s">
        <v>3560</v>
      </c>
      <c r="AF65" s="3067">
        <v>20857.62</v>
      </c>
      <c r="AG65" s="3066">
        <v>20857.62</v>
      </c>
      <c r="AH65" s="3066">
        <v>1669.5</v>
      </c>
      <c r="AI65" s="3066">
        <v>1669.5</v>
      </c>
      <c r="AJ65" s="3066">
        <v>25604.83</v>
      </c>
      <c r="AK65" s="3066">
        <v>25604.83</v>
      </c>
      <c r="AL65" s="3066">
        <v>48131.95</v>
      </c>
      <c r="AM65" s="3066">
        <v>48131.95</v>
      </c>
      <c r="AN65" s="3066" t="s">
        <v>3560</v>
      </c>
      <c r="AP65" s="3068">
        <f t="shared" si="0"/>
        <v>18.739999999999998</v>
      </c>
    </row>
    <row r="66" spans="2:42" ht="27" customHeight="1">
      <c r="B66" s="3066">
        <v>68</v>
      </c>
      <c r="C66" s="3066" t="s">
        <v>3121</v>
      </c>
      <c r="D66" s="3066" t="s">
        <v>3560</v>
      </c>
      <c r="E66" s="3066" t="s">
        <v>3888</v>
      </c>
      <c r="F66" s="3066" t="s">
        <v>3559</v>
      </c>
      <c r="G66" s="3066" t="s">
        <v>1373</v>
      </c>
      <c r="H66" s="3066" t="s">
        <v>3560</v>
      </c>
      <c r="I66" s="3066" t="s">
        <v>3889</v>
      </c>
      <c r="J66" s="3066" t="s">
        <v>3890</v>
      </c>
      <c r="K66" s="3066" t="s">
        <v>3560</v>
      </c>
      <c r="L66" s="3066" t="s">
        <v>3891</v>
      </c>
      <c r="M66" s="3066" t="s">
        <v>3892</v>
      </c>
      <c r="N66" s="3066">
        <v>1287.5</v>
      </c>
      <c r="O66" s="3066" t="s">
        <v>3619</v>
      </c>
      <c r="P66" s="3066" t="s">
        <v>3566</v>
      </c>
      <c r="Q66" s="3066">
        <v>1</v>
      </c>
      <c r="R66" s="3066">
        <v>204946.25</v>
      </c>
      <c r="S66" s="3066" t="s">
        <v>3567</v>
      </c>
      <c r="T66" s="3066">
        <v>24</v>
      </c>
      <c r="U66" s="3066">
        <v>30900</v>
      </c>
      <c r="V66" s="3066" t="s">
        <v>3560</v>
      </c>
      <c r="W66" s="3066" t="s">
        <v>3568</v>
      </c>
      <c r="X66" s="3066">
        <v>2.5</v>
      </c>
      <c r="Y66" s="3066">
        <v>38625</v>
      </c>
      <c r="Z66" s="3066" t="s">
        <v>3568</v>
      </c>
      <c r="AA66" s="3066" t="s">
        <v>3560</v>
      </c>
      <c r="AB66" s="3066" t="s">
        <v>3584</v>
      </c>
      <c r="AC66" s="3066" t="s">
        <v>3584</v>
      </c>
      <c r="AD66" s="3066" t="s">
        <v>3584</v>
      </c>
      <c r="AE66" s="3066" t="s">
        <v>3560</v>
      </c>
      <c r="AF66" s="3067">
        <v>30900</v>
      </c>
      <c r="AG66" s="3066">
        <v>0</v>
      </c>
      <c r="AH66" s="3066">
        <v>3218.75</v>
      </c>
      <c r="AI66" s="3066">
        <v>0</v>
      </c>
      <c r="AJ66" s="3066">
        <v>1389.38</v>
      </c>
      <c r="AK66" s="3066">
        <v>0</v>
      </c>
      <c r="AL66" s="3066">
        <v>35508.129999999997</v>
      </c>
      <c r="AM66" s="3066">
        <v>0</v>
      </c>
      <c r="AN66" s="3066" t="s">
        <v>3560</v>
      </c>
      <c r="AP66" s="3068">
        <f t="shared" si="0"/>
        <v>24</v>
      </c>
    </row>
    <row r="67" spans="2:42" ht="27" customHeight="1">
      <c r="B67" s="3066">
        <v>69</v>
      </c>
      <c r="C67" s="3066" t="s">
        <v>3630</v>
      </c>
      <c r="D67" s="3066" t="s">
        <v>3560</v>
      </c>
      <c r="E67" s="3066" t="s">
        <v>3893</v>
      </c>
      <c r="F67" s="3066" t="s">
        <v>3559</v>
      </c>
      <c r="G67" s="3066" t="s">
        <v>1373</v>
      </c>
      <c r="H67" s="3066" t="s">
        <v>3560</v>
      </c>
      <c r="I67" s="3066" t="s">
        <v>3894</v>
      </c>
      <c r="J67" s="3066" t="s">
        <v>3895</v>
      </c>
      <c r="K67" s="3066" t="s">
        <v>3560</v>
      </c>
      <c r="L67" s="3066" t="s">
        <v>3896</v>
      </c>
      <c r="M67" s="3066" t="s">
        <v>3897</v>
      </c>
      <c r="N67" s="3066">
        <v>775</v>
      </c>
      <c r="O67" s="3066" t="s">
        <v>3898</v>
      </c>
      <c r="P67" s="3066" t="s">
        <v>3566</v>
      </c>
      <c r="Q67" s="3066">
        <v>5</v>
      </c>
      <c r="R67" s="3066">
        <v>39616</v>
      </c>
      <c r="S67" s="3066" t="s">
        <v>3567</v>
      </c>
      <c r="T67" s="3066">
        <v>24.5</v>
      </c>
      <c r="U67" s="3066">
        <v>18987.5</v>
      </c>
      <c r="V67" s="3066" t="s">
        <v>3560</v>
      </c>
      <c r="W67" s="3066" t="s">
        <v>3568</v>
      </c>
      <c r="X67" s="3066">
        <v>2.2999999999999998</v>
      </c>
      <c r="Y67" s="3066">
        <v>21390</v>
      </c>
      <c r="Z67" s="3066" t="s">
        <v>3568</v>
      </c>
      <c r="AA67" s="3066" t="s">
        <v>3560</v>
      </c>
      <c r="AB67" s="3066" t="s">
        <v>3899</v>
      </c>
      <c r="AC67" s="3066" t="s">
        <v>3899</v>
      </c>
      <c r="AD67" s="3066" t="s">
        <v>3899</v>
      </c>
      <c r="AE67" s="3066" t="s">
        <v>3560</v>
      </c>
      <c r="AF67" s="3067">
        <v>18987.5</v>
      </c>
      <c r="AG67" s="3066">
        <v>18987.5</v>
      </c>
      <c r="AH67" s="3066">
        <v>1782.5</v>
      </c>
      <c r="AI67" s="3066">
        <v>1782.5</v>
      </c>
      <c r="AJ67" s="3066">
        <v>1593.59</v>
      </c>
      <c r="AK67" s="3066">
        <v>1593.59</v>
      </c>
      <c r="AL67" s="3066">
        <v>22363.59</v>
      </c>
      <c r="AM67" s="3066">
        <v>22363.59</v>
      </c>
      <c r="AN67" s="3066" t="s">
        <v>3560</v>
      </c>
      <c r="AP67" s="3068">
        <f t="shared" si="0"/>
        <v>24.5</v>
      </c>
    </row>
    <row r="68" spans="2:42" ht="27" customHeight="1">
      <c r="B68" s="3066">
        <v>76</v>
      </c>
      <c r="C68" s="3066" t="s">
        <v>3710</v>
      </c>
      <c r="D68" s="3066" t="s">
        <v>3560</v>
      </c>
      <c r="E68" s="3066" t="s">
        <v>3902</v>
      </c>
      <c r="F68" s="3066" t="s">
        <v>3559</v>
      </c>
      <c r="G68" s="3066" t="s">
        <v>1373</v>
      </c>
      <c r="H68" s="3066" t="s">
        <v>3560</v>
      </c>
      <c r="I68" s="3066" t="s">
        <v>3903</v>
      </c>
      <c r="J68" s="3066" t="s">
        <v>3904</v>
      </c>
      <c r="K68" s="3066" t="s">
        <v>3560</v>
      </c>
      <c r="L68" s="3066" t="s">
        <v>3905</v>
      </c>
      <c r="M68" s="3066" t="s">
        <v>3906</v>
      </c>
      <c r="N68" s="3066">
        <v>15</v>
      </c>
      <c r="O68" s="3066" t="s">
        <v>3619</v>
      </c>
      <c r="P68" s="3066" t="s">
        <v>3566</v>
      </c>
      <c r="Q68" s="3066">
        <v>1</v>
      </c>
      <c r="R68" s="3066">
        <v>1710</v>
      </c>
      <c r="S68" s="3066" t="s">
        <v>3567</v>
      </c>
      <c r="T68" s="3066">
        <v>36</v>
      </c>
      <c r="U68" s="3066">
        <v>540</v>
      </c>
      <c r="V68" s="3066" t="s">
        <v>3560</v>
      </c>
      <c r="W68" s="3066" t="s">
        <v>3568</v>
      </c>
      <c r="X68" s="3066">
        <v>2</v>
      </c>
      <c r="Y68" s="3066">
        <v>360</v>
      </c>
      <c r="Z68" s="3066" t="s">
        <v>3568</v>
      </c>
      <c r="AA68" s="3066" t="s">
        <v>3560</v>
      </c>
      <c r="AB68" s="3066" t="s">
        <v>3584</v>
      </c>
      <c r="AC68" s="3066" t="s">
        <v>3584</v>
      </c>
      <c r="AD68" s="3066" t="s">
        <v>3584</v>
      </c>
      <c r="AE68" s="3066" t="s">
        <v>3560</v>
      </c>
      <c r="AF68" s="3067">
        <v>540</v>
      </c>
      <c r="AG68" s="3066">
        <v>540</v>
      </c>
      <c r="AH68" s="3066">
        <v>30</v>
      </c>
      <c r="AI68" s="3066">
        <v>30</v>
      </c>
      <c r="AJ68" s="3066">
        <v>0</v>
      </c>
      <c r="AK68" s="3066">
        <v>0</v>
      </c>
      <c r="AL68" s="3066">
        <v>570</v>
      </c>
      <c r="AM68" s="3066">
        <v>570</v>
      </c>
      <c r="AN68" s="3066" t="s">
        <v>3560</v>
      </c>
      <c r="AP68" s="3068">
        <f t="shared" ref="AP68:AP131" si="1">AF68/N68</f>
        <v>36</v>
      </c>
    </row>
    <row r="69" spans="2:42" ht="27" customHeight="1">
      <c r="B69" s="3066">
        <v>77</v>
      </c>
      <c r="C69" s="3066" t="s">
        <v>3121</v>
      </c>
      <c r="D69" s="3066" t="s">
        <v>3907</v>
      </c>
      <c r="E69" s="3066" t="s">
        <v>3908</v>
      </c>
      <c r="F69" s="3066" t="s">
        <v>3559</v>
      </c>
      <c r="G69" s="3066" t="s">
        <v>1373</v>
      </c>
      <c r="H69" s="3066" t="s">
        <v>3560</v>
      </c>
      <c r="I69" s="3066" t="s">
        <v>3909</v>
      </c>
      <c r="J69" s="3066" t="s">
        <v>3910</v>
      </c>
      <c r="K69" s="3066" t="s">
        <v>3560</v>
      </c>
      <c r="L69" s="3066" t="s">
        <v>3911</v>
      </c>
      <c r="M69" s="3066" t="s">
        <v>3912</v>
      </c>
      <c r="N69" s="3066">
        <v>1958</v>
      </c>
      <c r="O69" s="3066" t="s">
        <v>3913</v>
      </c>
      <c r="P69" s="3066" t="s">
        <v>3566</v>
      </c>
      <c r="Q69" s="3066">
        <v>3</v>
      </c>
      <c r="R69" s="3066">
        <v>144963</v>
      </c>
      <c r="S69" s="3066" t="s">
        <v>3567</v>
      </c>
      <c r="T69" s="3066">
        <v>22</v>
      </c>
      <c r="U69" s="3066">
        <v>43076</v>
      </c>
      <c r="V69" s="3066" t="s">
        <v>3560</v>
      </c>
      <c r="W69" s="3066" t="s">
        <v>3568</v>
      </c>
      <c r="X69" s="3066">
        <v>2.5</v>
      </c>
      <c r="Y69" s="3066">
        <v>58740</v>
      </c>
      <c r="Z69" s="3066" t="s">
        <v>3568</v>
      </c>
      <c r="AA69" s="3066" t="s">
        <v>3560</v>
      </c>
      <c r="AB69" s="3066" t="s">
        <v>3914</v>
      </c>
      <c r="AC69" s="3066" t="s">
        <v>3914</v>
      </c>
      <c r="AD69" s="3066" t="s">
        <v>3914</v>
      </c>
      <c r="AE69" s="3066" t="s">
        <v>3560</v>
      </c>
      <c r="AF69" s="3067">
        <v>43076</v>
      </c>
      <c r="AG69" s="3066">
        <v>0</v>
      </c>
      <c r="AH69" s="3066">
        <v>4895</v>
      </c>
      <c r="AI69" s="3066">
        <v>0</v>
      </c>
      <c r="AJ69" s="3066">
        <v>52102.09</v>
      </c>
      <c r="AK69" s="3066">
        <v>0</v>
      </c>
      <c r="AL69" s="3066">
        <v>100073.09</v>
      </c>
      <c r="AM69" s="3066">
        <v>0</v>
      </c>
      <c r="AN69" s="3066" t="s">
        <v>3560</v>
      </c>
      <c r="AP69" s="3068">
        <f t="shared" si="1"/>
        <v>22</v>
      </c>
    </row>
    <row r="70" spans="2:42" ht="27" customHeight="1">
      <c r="B70" s="3066">
        <v>78</v>
      </c>
      <c r="C70" s="3066" t="s">
        <v>3214</v>
      </c>
      <c r="D70" s="3066" t="s">
        <v>3915</v>
      </c>
      <c r="E70" s="3066" t="s">
        <v>3916</v>
      </c>
      <c r="F70" s="3066" t="s">
        <v>3917</v>
      </c>
      <c r="G70" s="3066" t="s">
        <v>1373</v>
      </c>
      <c r="H70" s="3066" t="s">
        <v>3560</v>
      </c>
      <c r="I70" s="3066" t="s">
        <v>3909</v>
      </c>
      <c r="J70" s="3066" t="s">
        <v>3910</v>
      </c>
      <c r="K70" s="3066" t="s">
        <v>3560</v>
      </c>
      <c r="L70" s="3066" t="s">
        <v>3911</v>
      </c>
      <c r="M70" s="3066" t="s">
        <v>3918</v>
      </c>
      <c r="N70" s="3066">
        <v>35</v>
      </c>
      <c r="O70" s="3066" t="s">
        <v>3919</v>
      </c>
      <c r="P70" s="3066" t="s">
        <v>3566</v>
      </c>
      <c r="Q70" s="3066">
        <v>1</v>
      </c>
      <c r="R70" s="3066">
        <v>18006</v>
      </c>
      <c r="S70" s="3066" t="s">
        <v>3567</v>
      </c>
      <c r="T70" s="3066">
        <v>20</v>
      </c>
      <c r="U70" s="3066">
        <v>694</v>
      </c>
      <c r="V70" s="3066" t="s">
        <v>3560</v>
      </c>
      <c r="W70" s="3066" t="s">
        <v>3568</v>
      </c>
      <c r="X70" s="3066">
        <v>2</v>
      </c>
      <c r="Y70" s="3066">
        <v>832.8</v>
      </c>
      <c r="Z70" s="3066" t="s">
        <v>3568</v>
      </c>
      <c r="AA70" s="3066" t="s">
        <v>3560</v>
      </c>
      <c r="AB70" s="3066" t="s">
        <v>3920</v>
      </c>
      <c r="AC70" s="3066" t="s">
        <v>3920</v>
      </c>
      <c r="AD70" s="3066" t="s">
        <v>3920</v>
      </c>
      <c r="AE70" s="3066" t="s">
        <v>3560</v>
      </c>
      <c r="AF70" s="3067">
        <v>700</v>
      </c>
      <c r="AG70" s="3066">
        <v>0</v>
      </c>
      <c r="AH70" s="3066">
        <v>70</v>
      </c>
      <c r="AI70" s="3066">
        <v>0</v>
      </c>
      <c r="AJ70" s="3066">
        <v>128.47999999999999</v>
      </c>
      <c r="AK70" s="3066">
        <v>0</v>
      </c>
      <c r="AL70" s="3066">
        <v>898.48</v>
      </c>
      <c r="AM70" s="3066">
        <v>0</v>
      </c>
      <c r="AN70" s="3066" t="s">
        <v>3560</v>
      </c>
      <c r="AP70" s="3068">
        <f t="shared" si="1"/>
        <v>20</v>
      </c>
    </row>
    <row r="71" spans="2:42" ht="27" customHeight="1">
      <c r="B71" s="3066">
        <v>79</v>
      </c>
      <c r="C71" s="3066" t="s">
        <v>3214</v>
      </c>
      <c r="D71" s="3066" t="s">
        <v>3915</v>
      </c>
      <c r="E71" s="3066" t="s">
        <v>3921</v>
      </c>
      <c r="F71" s="3066" t="s">
        <v>3917</v>
      </c>
      <c r="G71" s="3066" t="s">
        <v>1373</v>
      </c>
      <c r="H71" s="3066" t="s">
        <v>3560</v>
      </c>
      <c r="I71" s="3066" t="s">
        <v>3922</v>
      </c>
      <c r="J71" s="3066" t="s">
        <v>3923</v>
      </c>
      <c r="K71" s="3066" t="s">
        <v>3560</v>
      </c>
      <c r="L71" s="3066" t="s">
        <v>3924</v>
      </c>
      <c r="M71" s="3066" t="s">
        <v>3925</v>
      </c>
      <c r="N71" s="3066">
        <v>35</v>
      </c>
      <c r="O71" s="3066" t="s">
        <v>3619</v>
      </c>
      <c r="P71" s="3066" t="s">
        <v>3566</v>
      </c>
      <c r="Q71" s="3066">
        <v>1</v>
      </c>
      <c r="R71" s="3066">
        <v>2310</v>
      </c>
      <c r="S71" s="3066" t="s">
        <v>3567</v>
      </c>
      <c r="T71" s="3066">
        <v>20</v>
      </c>
      <c r="U71" s="3066">
        <v>700</v>
      </c>
      <c r="V71" s="3066" t="s">
        <v>3560</v>
      </c>
      <c r="W71" s="3066" t="s">
        <v>3568</v>
      </c>
      <c r="X71" s="3066">
        <v>2</v>
      </c>
      <c r="Y71" s="3066">
        <v>840</v>
      </c>
      <c r="Z71" s="3066" t="s">
        <v>3568</v>
      </c>
      <c r="AA71" s="3066" t="s">
        <v>3560</v>
      </c>
      <c r="AB71" s="3066" t="s">
        <v>3584</v>
      </c>
      <c r="AC71" s="3066" t="s">
        <v>3584</v>
      </c>
      <c r="AD71" s="3066" t="s">
        <v>3584</v>
      </c>
      <c r="AE71" s="3066" t="s">
        <v>3560</v>
      </c>
      <c r="AF71" s="3067">
        <v>700</v>
      </c>
      <c r="AG71" s="3066">
        <v>0</v>
      </c>
      <c r="AH71" s="3066">
        <v>70</v>
      </c>
      <c r="AI71" s="3066">
        <v>0</v>
      </c>
      <c r="AJ71" s="3066">
        <v>52.76</v>
      </c>
      <c r="AK71" s="3066">
        <v>0</v>
      </c>
      <c r="AL71" s="3066">
        <v>822.76</v>
      </c>
      <c r="AM71" s="3066">
        <v>0</v>
      </c>
      <c r="AN71" s="3066" t="s">
        <v>3560</v>
      </c>
      <c r="AP71" s="3068">
        <f t="shared" si="1"/>
        <v>20</v>
      </c>
    </row>
    <row r="72" spans="2:42" ht="27" customHeight="1">
      <c r="B72" s="3066">
        <v>80</v>
      </c>
      <c r="C72" s="3066" t="s">
        <v>3214</v>
      </c>
      <c r="D72" s="3066" t="s">
        <v>3926</v>
      </c>
      <c r="E72" s="3066" t="s">
        <v>3927</v>
      </c>
      <c r="F72" s="3066" t="s">
        <v>3917</v>
      </c>
      <c r="G72" s="3066" t="s">
        <v>3560</v>
      </c>
      <c r="H72" s="3066" t="s">
        <v>3560</v>
      </c>
      <c r="I72" s="3066" t="s">
        <v>3928</v>
      </c>
      <c r="J72" s="3066" t="s">
        <v>3928</v>
      </c>
      <c r="K72" s="3066" t="s">
        <v>3560</v>
      </c>
      <c r="L72" s="3066" t="s">
        <v>3929</v>
      </c>
      <c r="M72" s="3066" t="s">
        <v>3930</v>
      </c>
      <c r="N72" s="3066">
        <v>35</v>
      </c>
      <c r="O72" s="3066" t="s">
        <v>3931</v>
      </c>
      <c r="P72" s="3066" t="s">
        <v>3566</v>
      </c>
      <c r="Q72" s="3066">
        <v>1</v>
      </c>
      <c r="R72" s="3066">
        <v>2340</v>
      </c>
      <c r="S72" s="3066" t="s">
        <v>3567</v>
      </c>
      <c r="T72" s="3066">
        <v>20</v>
      </c>
      <c r="U72" s="3066">
        <v>700</v>
      </c>
      <c r="V72" s="3066" t="s">
        <v>3560</v>
      </c>
      <c r="W72" s="3066" t="s">
        <v>3568</v>
      </c>
      <c r="X72" s="3066">
        <v>2.29</v>
      </c>
      <c r="Y72" s="3066">
        <v>960</v>
      </c>
      <c r="Z72" s="3066" t="s">
        <v>3568</v>
      </c>
      <c r="AA72" s="3066" t="s">
        <v>3560</v>
      </c>
      <c r="AB72" s="3066" t="s">
        <v>3932</v>
      </c>
      <c r="AC72" s="3066" t="s">
        <v>3932</v>
      </c>
      <c r="AD72" s="3066" t="s">
        <v>3932</v>
      </c>
      <c r="AE72" s="3066" t="s">
        <v>3560</v>
      </c>
      <c r="AF72" s="3067">
        <v>700</v>
      </c>
      <c r="AG72" s="3066">
        <v>700</v>
      </c>
      <c r="AH72" s="3066">
        <v>80</v>
      </c>
      <c r="AI72" s="3066">
        <v>80</v>
      </c>
      <c r="AJ72" s="3066">
        <v>146.78</v>
      </c>
      <c r="AK72" s="3066">
        <v>146.78</v>
      </c>
      <c r="AL72" s="3066">
        <v>926.78</v>
      </c>
      <c r="AM72" s="3066">
        <v>926.78</v>
      </c>
      <c r="AN72" s="3066" t="s">
        <v>3560</v>
      </c>
      <c r="AP72" s="3068">
        <f t="shared" si="1"/>
        <v>20</v>
      </c>
    </row>
    <row r="73" spans="2:42" ht="27" customHeight="1">
      <c r="B73" s="3066">
        <v>81</v>
      </c>
      <c r="C73" s="3066" t="s">
        <v>3214</v>
      </c>
      <c r="D73" s="3066" t="s">
        <v>3926</v>
      </c>
      <c r="E73" s="3066" t="s">
        <v>3933</v>
      </c>
      <c r="F73" s="3066" t="s">
        <v>3917</v>
      </c>
      <c r="G73" s="3066" t="s">
        <v>1373</v>
      </c>
      <c r="H73" s="3066" t="s">
        <v>3560</v>
      </c>
      <c r="I73" s="3066" t="s">
        <v>3934</v>
      </c>
      <c r="J73" s="3066" t="s">
        <v>3560</v>
      </c>
      <c r="K73" s="3066" t="s">
        <v>3560</v>
      </c>
      <c r="L73" s="3066" t="s">
        <v>3935</v>
      </c>
      <c r="M73" s="3066" t="s">
        <v>3936</v>
      </c>
      <c r="N73" s="3066">
        <v>35</v>
      </c>
      <c r="O73" s="3066" t="s">
        <v>3785</v>
      </c>
      <c r="P73" s="3066" t="s">
        <v>3566</v>
      </c>
      <c r="Q73" s="3066">
        <v>1</v>
      </c>
      <c r="R73" s="3066">
        <v>2340</v>
      </c>
      <c r="S73" s="3066" t="s">
        <v>3567</v>
      </c>
      <c r="T73" s="3066">
        <v>20</v>
      </c>
      <c r="U73" s="3066">
        <v>700</v>
      </c>
      <c r="V73" s="3066" t="s">
        <v>3560</v>
      </c>
      <c r="W73" s="3066" t="s">
        <v>3568</v>
      </c>
      <c r="X73" s="3066">
        <v>2.29</v>
      </c>
      <c r="Y73" s="3066">
        <v>960</v>
      </c>
      <c r="Z73" s="3066" t="s">
        <v>3568</v>
      </c>
      <c r="AA73" s="3066" t="s">
        <v>3560</v>
      </c>
      <c r="AB73" s="3066" t="s">
        <v>3591</v>
      </c>
      <c r="AC73" s="3066" t="s">
        <v>3591</v>
      </c>
      <c r="AD73" s="3066" t="s">
        <v>3591</v>
      </c>
      <c r="AE73" s="3066" t="s">
        <v>3560</v>
      </c>
      <c r="AF73" s="3067">
        <v>700</v>
      </c>
      <c r="AG73" s="3066">
        <v>700</v>
      </c>
      <c r="AH73" s="3066">
        <v>80</v>
      </c>
      <c r="AI73" s="3066">
        <v>80</v>
      </c>
      <c r="AJ73" s="3066">
        <v>20.059999999999999</v>
      </c>
      <c r="AK73" s="3066">
        <v>20.059999999999999</v>
      </c>
      <c r="AL73" s="3066">
        <v>800.06</v>
      </c>
      <c r="AM73" s="3066">
        <v>800.06</v>
      </c>
      <c r="AN73" s="3066" t="s">
        <v>3560</v>
      </c>
      <c r="AP73" s="3068">
        <f t="shared" si="1"/>
        <v>20</v>
      </c>
    </row>
    <row r="74" spans="2:42" ht="27" customHeight="1">
      <c r="B74" s="3066">
        <v>82</v>
      </c>
      <c r="C74" s="3066" t="s">
        <v>3214</v>
      </c>
      <c r="D74" s="3066" t="s">
        <v>3926</v>
      </c>
      <c r="E74" s="3066" t="s">
        <v>3937</v>
      </c>
      <c r="F74" s="3066" t="s">
        <v>3917</v>
      </c>
      <c r="G74" s="3066" t="s">
        <v>1373</v>
      </c>
      <c r="H74" s="3066" t="s">
        <v>3560</v>
      </c>
      <c r="I74" s="3066" t="s">
        <v>3722</v>
      </c>
      <c r="J74" s="3066" t="s">
        <v>3723</v>
      </c>
      <c r="K74" s="3066" t="s">
        <v>3560</v>
      </c>
      <c r="L74" s="3066" t="s">
        <v>3724</v>
      </c>
      <c r="M74" s="3066" t="s">
        <v>3938</v>
      </c>
      <c r="N74" s="3066">
        <v>35</v>
      </c>
      <c r="O74" s="3066" t="s">
        <v>3939</v>
      </c>
      <c r="P74" s="3066" t="s">
        <v>3940</v>
      </c>
      <c r="Q74" s="3066">
        <v>1</v>
      </c>
      <c r="R74" s="3066">
        <v>9240</v>
      </c>
      <c r="S74" s="3066" t="s">
        <v>3567</v>
      </c>
      <c r="T74" s="3066">
        <v>20</v>
      </c>
      <c r="U74" s="3066">
        <v>700</v>
      </c>
      <c r="V74" s="3066" t="s">
        <v>3560</v>
      </c>
      <c r="W74" s="3066" t="s">
        <v>3568</v>
      </c>
      <c r="X74" s="3066">
        <v>2</v>
      </c>
      <c r="Y74" s="3066">
        <v>840</v>
      </c>
      <c r="Z74" s="3066" t="s">
        <v>3568</v>
      </c>
      <c r="AA74" s="3066" t="s">
        <v>3560</v>
      </c>
      <c r="AB74" s="3066" t="s">
        <v>3941</v>
      </c>
      <c r="AC74" s="3066" t="s">
        <v>3941</v>
      </c>
      <c r="AD74" s="3066" t="s">
        <v>3941</v>
      </c>
      <c r="AE74" s="3066" t="s">
        <v>3560</v>
      </c>
      <c r="AF74" s="3067">
        <v>700</v>
      </c>
      <c r="AG74" s="3066">
        <v>700</v>
      </c>
      <c r="AH74" s="3066">
        <v>70</v>
      </c>
      <c r="AI74" s="3066">
        <v>70</v>
      </c>
      <c r="AJ74" s="3066">
        <v>37.14</v>
      </c>
      <c r="AK74" s="3066">
        <v>37.14</v>
      </c>
      <c r="AL74" s="3066">
        <v>807.14</v>
      </c>
      <c r="AM74" s="3066">
        <v>807.14</v>
      </c>
      <c r="AN74" s="3066" t="s">
        <v>3560</v>
      </c>
      <c r="AP74" s="3068">
        <f t="shared" si="1"/>
        <v>20</v>
      </c>
    </row>
    <row r="75" spans="2:42" ht="27" customHeight="1">
      <c r="B75" s="3066">
        <v>83</v>
      </c>
      <c r="C75" s="3066" t="s">
        <v>3214</v>
      </c>
      <c r="D75" s="3066" t="s">
        <v>3926</v>
      </c>
      <c r="E75" s="3066" t="s">
        <v>3937</v>
      </c>
      <c r="F75" s="3066" t="s">
        <v>3917</v>
      </c>
      <c r="G75" s="3066" t="s">
        <v>1373</v>
      </c>
      <c r="H75" s="3066" t="s">
        <v>3560</v>
      </c>
      <c r="I75" s="3066" t="s">
        <v>3722</v>
      </c>
      <c r="J75" s="3066" t="s">
        <v>3723</v>
      </c>
      <c r="K75" s="3066" t="s">
        <v>3560</v>
      </c>
      <c r="L75" s="3066" t="s">
        <v>3724</v>
      </c>
      <c r="M75" s="3066" t="s">
        <v>3938</v>
      </c>
      <c r="N75" s="3066">
        <v>35</v>
      </c>
      <c r="O75" s="3066" t="s">
        <v>3942</v>
      </c>
      <c r="P75" s="3066" t="s">
        <v>3566</v>
      </c>
      <c r="Q75" s="3066">
        <v>0</v>
      </c>
      <c r="R75" s="3066">
        <v>9240</v>
      </c>
      <c r="S75" s="3066" t="s">
        <v>3567</v>
      </c>
      <c r="T75" s="3066">
        <v>21</v>
      </c>
      <c r="U75" s="3066">
        <v>735</v>
      </c>
      <c r="V75" s="3066" t="s">
        <v>3560</v>
      </c>
      <c r="W75" s="3066" t="s">
        <v>3568</v>
      </c>
      <c r="X75" s="3066">
        <v>2</v>
      </c>
      <c r="Y75" s="3066">
        <v>840</v>
      </c>
      <c r="Z75" s="3066" t="s">
        <v>3568</v>
      </c>
      <c r="AA75" s="3066" t="s">
        <v>3560</v>
      </c>
      <c r="AB75" s="3066" t="s">
        <v>3943</v>
      </c>
      <c r="AC75" s="3066" t="s">
        <v>3943</v>
      </c>
      <c r="AD75" s="3066" t="s">
        <v>3943</v>
      </c>
      <c r="AE75" s="3066" t="s">
        <v>3560</v>
      </c>
      <c r="AF75" s="3067">
        <v>700</v>
      </c>
      <c r="AG75" s="3066">
        <v>700</v>
      </c>
      <c r="AH75" s="3066">
        <v>70</v>
      </c>
      <c r="AI75" s="3066">
        <v>70</v>
      </c>
      <c r="AJ75" s="3066">
        <v>37.14</v>
      </c>
      <c r="AK75" s="3066">
        <v>37.14</v>
      </c>
      <c r="AL75" s="3066">
        <v>807.14</v>
      </c>
      <c r="AM75" s="3066">
        <v>807.14</v>
      </c>
      <c r="AN75" s="3066" t="s">
        <v>3560</v>
      </c>
      <c r="AP75" s="3068">
        <f t="shared" si="1"/>
        <v>20</v>
      </c>
    </row>
    <row r="76" spans="2:42" ht="27" customHeight="1">
      <c r="B76" s="3066">
        <v>84</v>
      </c>
      <c r="C76" s="3066" t="s">
        <v>3214</v>
      </c>
      <c r="D76" s="3066" t="s">
        <v>3926</v>
      </c>
      <c r="E76" s="3066" t="s">
        <v>3944</v>
      </c>
      <c r="F76" s="3066" t="s">
        <v>3917</v>
      </c>
      <c r="G76" s="3066" t="s">
        <v>1373</v>
      </c>
      <c r="H76" s="3066" t="s">
        <v>3560</v>
      </c>
      <c r="I76" s="3066" t="s">
        <v>3722</v>
      </c>
      <c r="J76" s="3066" t="s">
        <v>3723</v>
      </c>
      <c r="K76" s="3066" t="s">
        <v>3560</v>
      </c>
      <c r="L76" s="3066" t="s">
        <v>3724</v>
      </c>
      <c r="M76" s="3066" t="s">
        <v>3945</v>
      </c>
      <c r="N76" s="3066">
        <v>35</v>
      </c>
      <c r="O76" s="3066" t="s">
        <v>3939</v>
      </c>
      <c r="P76" s="3066" t="s">
        <v>3940</v>
      </c>
      <c r="Q76" s="3066">
        <v>1</v>
      </c>
      <c r="R76" s="3066">
        <v>0</v>
      </c>
      <c r="S76" s="3066" t="s">
        <v>3577</v>
      </c>
      <c r="T76" s="3066">
        <v>20</v>
      </c>
      <c r="U76" s="3066">
        <v>700</v>
      </c>
      <c r="V76" s="3066" t="s">
        <v>3560</v>
      </c>
      <c r="W76" s="3066" t="s">
        <v>3568</v>
      </c>
      <c r="X76" s="3066">
        <v>2</v>
      </c>
      <c r="Y76" s="3066">
        <v>840</v>
      </c>
      <c r="Z76" s="3066" t="s">
        <v>3568</v>
      </c>
      <c r="AA76" s="3066" t="s">
        <v>3560</v>
      </c>
      <c r="AB76" s="3066" t="s">
        <v>3941</v>
      </c>
      <c r="AC76" s="3066" t="s">
        <v>3941</v>
      </c>
      <c r="AD76" s="3066" t="s">
        <v>3941</v>
      </c>
      <c r="AE76" s="3066" t="s">
        <v>3560</v>
      </c>
      <c r="AF76" s="3067">
        <v>700</v>
      </c>
      <c r="AG76" s="3066">
        <v>700</v>
      </c>
      <c r="AH76" s="3066">
        <v>70</v>
      </c>
      <c r="AI76" s="3066">
        <v>70</v>
      </c>
      <c r="AJ76" s="3066">
        <v>31.28</v>
      </c>
      <c r="AK76" s="3066">
        <v>31.28</v>
      </c>
      <c r="AL76" s="3066">
        <v>801.28</v>
      </c>
      <c r="AM76" s="3066">
        <v>801.28</v>
      </c>
      <c r="AN76" s="3066" t="s">
        <v>3560</v>
      </c>
      <c r="AP76" s="3068">
        <f t="shared" si="1"/>
        <v>20</v>
      </c>
    </row>
    <row r="77" spans="2:42" ht="27" customHeight="1">
      <c r="B77" s="3066">
        <v>85</v>
      </c>
      <c r="C77" s="3066" t="s">
        <v>3214</v>
      </c>
      <c r="D77" s="3066" t="s">
        <v>3926</v>
      </c>
      <c r="E77" s="3066" t="s">
        <v>3944</v>
      </c>
      <c r="F77" s="3066" t="s">
        <v>3917</v>
      </c>
      <c r="G77" s="3066" t="s">
        <v>1373</v>
      </c>
      <c r="H77" s="3066" t="s">
        <v>3560</v>
      </c>
      <c r="I77" s="3066" t="s">
        <v>3722</v>
      </c>
      <c r="J77" s="3066" t="s">
        <v>3723</v>
      </c>
      <c r="K77" s="3066" t="s">
        <v>3560</v>
      </c>
      <c r="L77" s="3066" t="s">
        <v>3724</v>
      </c>
      <c r="M77" s="3066" t="s">
        <v>3945</v>
      </c>
      <c r="N77" s="3066">
        <v>35</v>
      </c>
      <c r="O77" s="3066" t="s">
        <v>3942</v>
      </c>
      <c r="P77" s="3066" t="s">
        <v>3566</v>
      </c>
      <c r="Q77" s="3066">
        <v>0</v>
      </c>
      <c r="R77" s="3066">
        <v>0</v>
      </c>
      <c r="S77" s="3066" t="s">
        <v>3577</v>
      </c>
      <c r="T77" s="3066">
        <v>21</v>
      </c>
      <c r="U77" s="3066">
        <v>735</v>
      </c>
      <c r="V77" s="3066" t="s">
        <v>3560</v>
      </c>
      <c r="W77" s="3066" t="s">
        <v>3568</v>
      </c>
      <c r="X77" s="3066">
        <v>2</v>
      </c>
      <c r="Y77" s="3066">
        <v>840</v>
      </c>
      <c r="Z77" s="3066" t="s">
        <v>3568</v>
      </c>
      <c r="AA77" s="3066" t="s">
        <v>3560</v>
      </c>
      <c r="AB77" s="3066" t="s">
        <v>3943</v>
      </c>
      <c r="AC77" s="3066" t="s">
        <v>3943</v>
      </c>
      <c r="AD77" s="3066" t="s">
        <v>3943</v>
      </c>
      <c r="AE77" s="3066" t="s">
        <v>3560</v>
      </c>
      <c r="AF77" s="3067">
        <v>700</v>
      </c>
      <c r="AG77" s="3066">
        <v>700</v>
      </c>
      <c r="AH77" s="3066">
        <v>70</v>
      </c>
      <c r="AI77" s="3066">
        <v>70</v>
      </c>
      <c r="AJ77" s="3066">
        <v>31.28</v>
      </c>
      <c r="AK77" s="3066">
        <v>31.28</v>
      </c>
      <c r="AL77" s="3066">
        <v>801.28</v>
      </c>
      <c r="AM77" s="3066">
        <v>801.28</v>
      </c>
      <c r="AN77" s="3066" t="s">
        <v>3560</v>
      </c>
      <c r="AP77" s="3068">
        <f t="shared" si="1"/>
        <v>20</v>
      </c>
    </row>
    <row r="78" spans="2:42" ht="27" customHeight="1">
      <c r="B78" s="3066">
        <v>86</v>
      </c>
      <c r="C78" s="3066" t="s">
        <v>3214</v>
      </c>
      <c r="D78" s="3066" t="s">
        <v>3926</v>
      </c>
      <c r="E78" s="3066" t="s">
        <v>3946</v>
      </c>
      <c r="F78" s="3066" t="s">
        <v>3917</v>
      </c>
      <c r="G78" s="3066" t="s">
        <v>3560</v>
      </c>
      <c r="H78" s="3066" t="s">
        <v>3560</v>
      </c>
      <c r="I78" s="3066" t="s">
        <v>3947</v>
      </c>
      <c r="J78" s="3066" t="s">
        <v>3947</v>
      </c>
      <c r="K78" s="3066" t="s">
        <v>3560</v>
      </c>
      <c r="L78" s="3066" t="s">
        <v>3948</v>
      </c>
      <c r="M78" s="3066" t="s">
        <v>3949</v>
      </c>
      <c r="N78" s="3066">
        <v>35</v>
      </c>
      <c r="O78" s="3066" t="s">
        <v>3950</v>
      </c>
      <c r="P78" s="3066" t="s">
        <v>3566</v>
      </c>
      <c r="Q78" s="3066">
        <v>1</v>
      </c>
      <c r="R78" s="3066">
        <v>2130</v>
      </c>
      <c r="S78" s="3066" t="s">
        <v>3567</v>
      </c>
      <c r="T78" s="3066">
        <v>21</v>
      </c>
      <c r="U78" s="3066">
        <v>735</v>
      </c>
      <c r="V78" s="3066" t="s">
        <v>3560</v>
      </c>
      <c r="W78" s="3066" t="s">
        <v>3568</v>
      </c>
      <c r="X78" s="3066">
        <v>2.29</v>
      </c>
      <c r="Y78" s="3066">
        <v>960</v>
      </c>
      <c r="Z78" s="3066" t="s">
        <v>3568</v>
      </c>
      <c r="AA78" s="3066" t="s">
        <v>3560</v>
      </c>
      <c r="AB78" s="3066" t="s">
        <v>3951</v>
      </c>
      <c r="AC78" s="3066" t="s">
        <v>3951</v>
      </c>
      <c r="AD78" s="3066" t="s">
        <v>3951</v>
      </c>
      <c r="AE78" s="3066" t="s">
        <v>3560</v>
      </c>
      <c r="AF78" s="3067">
        <v>735</v>
      </c>
      <c r="AG78" s="3066">
        <v>735</v>
      </c>
      <c r="AH78" s="3066">
        <v>80</v>
      </c>
      <c r="AI78" s="3066">
        <v>80</v>
      </c>
      <c r="AJ78" s="3066">
        <v>128.15</v>
      </c>
      <c r="AK78" s="3066">
        <v>128.15</v>
      </c>
      <c r="AL78" s="3066">
        <v>943.15</v>
      </c>
      <c r="AM78" s="3066">
        <v>943.15</v>
      </c>
      <c r="AN78" s="3066" t="s">
        <v>3560</v>
      </c>
      <c r="AP78" s="3068">
        <f t="shared" si="1"/>
        <v>21</v>
      </c>
    </row>
    <row r="79" spans="2:42" ht="27" customHeight="1">
      <c r="B79" s="3066">
        <v>87</v>
      </c>
      <c r="C79" s="3066" t="s">
        <v>3214</v>
      </c>
      <c r="D79" s="3066" t="s">
        <v>3926</v>
      </c>
      <c r="E79" s="3066" t="s">
        <v>3952</v>
      </c>
      <c r="F79" s="3066" t="s">
        <v>3917</v>
      </c>
      <c r="G79" s="3066" t="s">
        <v>3560</v>
      </c>
      <c r="H79" s="3066" t="s">
        <v>3560</v>
      </c>
      <c r="I79" s="3066" t="s">
        <v>3953</v>
      </c>
      <c r="J79" s="3066" t="s">
        <v>3953</v>
      </c>
      <c r="K79" s="3066" t="s">
        <v>3560</v>
      </c>
      <c r="L79" s="3066" t="s">
        <v>3954</v>
      </c>
      <c r="M79" s="3066" t="s">
        <v>3955</v>
      </c>
      <c r="N79" s="3066">
        <v>35</v>
      </c>
      <c r="O79" s="3066" t="s">
        <v>3950</v>
      </c>
      <c r="P79" s="3066" t="s">
        <v>3566</v>
      </c>
      <c r="Q79" s="3066">
        <v>1</v>
      </c>
      <c r="R79" s="3066">
        <v>2445</v>
      </c>
      <c r="S79" s="3066" t="s">
        <v>3567</v>
      </c>
      <c r="T79" s="3066">
        <v>21</v>
      </c>
      <c r="U79" s="3066">
        <v>735</v>
      </c>
      <c r="V79" s="3066" t="s">
        <v>3560</v>
      </c>
      <c r="W79" s="3066" t="s">
        <v>3568</v>
      </c>
      <c r="X79" s="3066">
        <v>2.29</v>
      </c>
      <c r="Y79" s="3066">
        <v>960</v>
      </c>
      <c r="Z79" s="3066" t="s">
        <v>3568</v>
      </c>
      <c r="AA79" s="3066" t="s">
        <v>3560</v>
      </c>
      <c r="AB79" s="3066" t="s">
        <v>3951</v>
      </c>
      <c r="AC79" s="3066" t="s">
        <v>3951</v>
      </c>
      <c r="AD79" s="3066" t="s">
        <v>3951</v>
      </c>
      <c r="AE79" s="3066" t="s">
        <v>3560</v>
      </c>
      <c r="AF79" s="3067">
        <v>735</v>
      </c>
      <c r="AG79" s="3066">
        <v>735</v>
      </c>
      <c r="AH79" s="3066">
        <v>80</v>
      </c>
      <c r="AI79" s="3066">
        <v>80</v>
      </c>
      <c r="AJ79" s="3066">
        <v>116.26</v>
      </c>
      <c r="AK79" s="3066">
        <v>116.26</v>
      </c>
      <c r="AL79" s="3066">
        <v>931.26</v>
      </c>
      <c r="AM79" s="3066">
        <v>931.26</v>
      </c>
      <c r="AN79" s="3066" t="s">
        <v>3560</v>
      </c>
      <c r="AP79" s="3068">
        <f t="shared" si="1"/>
        <v>21</v>
      </c>
    </row>
    <row r="80" spans="2:42" ht="27" customHeight="1">
      <c r="B80" s="3066">
        <v>88</v>
      </c>
      <c r="C80" s="3066" t="s">
        <v>3214</v>
      </c>
      <c r="D80" s="3066" t="s">
        <v>3926</v>
      </c>
      <c r="E80" s="3066" t="s">
        <v>3956</v>
      </c>
      <c r="F80" s="3066" t="s">
        <v>3917</v>
      </c>
      <c r="G80" s="3066" t="s">
        <v>3560</v>
      </c>
      <c r="H80" s="3066" t="s">
        <v>3560</v>
      </c>
      <c r="I80" s="3066" t="s">
        <v>3957</v>
      </c>
      <c r="J80" s="3066" t="s">
        <v>3957</v>
      </c>
      <c r="K80" s="3066" t="s">
        <v>3560</v>
      </c>
      <c r="L80" s="3066" t="s">
        <v>3958</v>
      </c>
      <c r="M80" s="3066" t="s">
        <v>3959</v>
      </c>
      <c r="N80" s="3066">
        <v>35</v>
      </c>
      <c r="O80" s="3066" t="s">
        <v>3950</v>
      </c>
      <c r="P80" s="3066" t="s">
        <v>3566</v>
      </c>
      <c r="Q80" s="3066">
        <v>1</v>
      </c>
      <c r="R80" s="3066">
        <v>8150</v>
      </c>
      <c r="S80" s="3066" t="s">
        <v>3567</v>
      </c>
      <c r="T80" s="3066">
        <v>21</v>
      </c>
      <c r="U80" s="3066">
        <v>735</v>
      </c>
      <c r="V80" s="3066" t="s">
        <v>3560</v>
      </c>
      <c r="W80" s="3066" t="s">
        <v>3568</v>
      </c>
      <c r="X80" s="3066">
        <v>2.29</v>
      </c>
      <c r="Y80" s="3066">
        <v>960</v>
      </c>
      <c r="Z80" s="3066" t="s">
        <v>3568</v>
      </c>
      <c r="AA80" s="3066" t="s">
        <v>3560</v>
      </c>
      <c r="AB80" s="3066" t="s">
        <v>3951</v>
      </c>
      <c r="AC80" s="3066" t="s">
        <v>3951</v>
      </c>
      <c r="AD80" s="3066" t="s">
        <v>3951</v>
      </c>
      <c r="AE80" s="3066" t="s">
        <v>3560</v>
      </c>
      <c r="AF80" s="3067">
        <v>735</v>
      </c>
      <c r="AG80" s="3066">
        <v>735</v>
      </c>
      <c r="AH80" s="3066">
        <v>80</v>
      </c>
      <c r="AI80" s="3066">
        <v>80</v>
      </c>
      <c r="AJ80" s="3066">
        <v>24.74</v>
      </c>
      <c r="AK80" s="3066">
        <v>24.74</v>
      </c>
      <c r="AL80" s="3066">
        <v>839.74</v>
      </c>
      <c r="AM80" s="3066">
        <v>839.74</v>
      </c>
      <c r="AN80" s="3066" t="s">
        <v>3560</v>
      </c>
      <c r="AP80" s="3068">
        <f t="shared" si="1"/>
        <v>21</v>
      </c>
    </row>
    <row r="81" spans="2:42" ht="27" customHeight="1">
      <c r="B81" s="3066">
        <v>89</v>
      </c>
      <c r="C81" s="3066" t="s">
        <v>3214</v>
      </c>
      <c r="D81" s="3066" t="s">
        <v>3926</v>
      </c>
      <c r="E81" s="3066" t="s">
        <v>3960</v>
      </c>
      <c r="F81" s="3066" t="s">
        <v>3917</v>
      </c>
      <c r="G81" s="3066" t="s">
        <v>3560</v>
      </c>
      <c r="H81" s="3066" t="s">
        <v>3560</v>
      </c>
      <c r="I81" s="3066" t="s">
        <v>3957</v>
      </c>
      <c r="J81" s="3066" t="s">
        <v>3957</v>
      </c>
      <c r="K81" s="3066" t="s">
        <v>3560</v>
      </c>
      <c r="L81" s="3066" t="s">
        <v>3958</v>
      </c>
      <c r="M81" s="3066" t="s">
        <v>3961</v>
      </c>
      <c r="N81" s="3066">
        <v>35</v>
      </c>
      <c r="O81" s="3066" t="s">
        <v>3950</v>
      </c>
      <c r="P81" s="3066" t="s">
        <v>3566</v>
      </c>
      <c r="Q81" s="3066">
        <v>1</v>
      </c>
      <c r="R81" s="3066">
        <v>0</v>
      </c>
      <c r="S81" s="3066" t="s">
        <v>3577</v>
      </c>
      <c r="T81" s="3066">
        <v>21</v>
      </c>
      <c r="U81" s="3066">
        <v>735</v>
      </c>
      <c r="V81" s="3066" t="s">
        <v>3560</v>
      </c>
      <c r="W81" s="3066" t="s">
        <v>3568</v>
      </c>
      <c r="X81" s="3066">
        <v>2.29</v>
      </c>
      <c r="Y81" s="3066">
        <v>960</v>
      </c>
      <c r="Z81" s="3066" t="s">
        <v>3568</v>
      </c>
      <c r="AA81" s="3066" t="s">
        <v>3560</v>
      </c>
      <c r="AB81" s="3066" t="s">
        <v>3951</v>
      </c>
      <c r="AC81" s="3066" t="s">
        <v>3951</v>
      </c>
      <c r="AD81" s="3066" t="s">
        <v>3951</v>
      </c>
      <c r="AE81" s="3066" t="s">
        <v>3560</v>
      </c>
      <c r="AF81" s="3067">
        <v>735</v>
      </c>
      <c r="AG81" s="3066">
        <v>735</v>
      </c>
      <c r="AH81" s="3066">
        <v>80</v>
      </c>
      <c r="AI81" s="3066">
        <v>80</v>
      </c>
      <c r="AJ81" s="3066">
        <v>56.77</v>
      </c>
      <c r="AK81" s="3066">
        <v>56.77</v>
      </c>
      <c r="AL81" s="3066">
        <v>871.77</v>
      </c>
      <c r="AM81" s="3066">
        <v>871.77</v>
      </c>
      <c r="AN81" s="3066" t="s">
        <v>3560</v>
      </c>
      <c r="AP81" s="3068">
        <f t="shared" si="1"/>
        <v>21</v>
      </c>
    </row>
    <row r="82" spans="2:42" ht="27" customHeight="1">
      <c r="B82" s="3066">
        <v>90</v>
      </c>
      <c r="C82" s="3066" t="s">
        <v>3214</v>
      </c>
      <c r="D82" s="3066" t="s">
        <v>3926</v>
      </c>
      <c r="E82" s="3066" t="s">
        <v>3962</v>
      </c>
      <c r="F82" s="3066" t="s">
        <v>3917</v>
      </c>
      <c r="G82" s="3066" t="s">
        <v>1373</v>
      </c>
      <c r="H82" s="3066" t="s">
        <v>3560</v>
      </c>
      <c r="I82" s="3066" t="s">
        <v>3722</v>
      </c>
      <c r="J82" s="3066" t="s">
        <v>3723</v>
      </c>
      <c r="K82" s="3066" t="s">
        <v>3560</v>
      </c>
      <c r="L82" s="3066" t="s">
        <v>3724</v>
      </c>
      <c r="M82" s="3066" t="s">
        <v>3963</v>
      </c>
      <c r="N82" s="3066">
        <v>35</v>
      </c>
      <c r="O82" s="3066" t="s">
        <v>3939</v>
      </c>
      <c r="P82" s="3066" t="s">
        <v>3940</v>
      </c>
      <c r="Q82" s="3066">
        <v>1</v>
      </c>
      <c r="R82" s="3066">
        <v>0</v>
      </c>
      <c r="S82" s="3066" t="s">
        <v>3577</v>
      </c>
      <c r="T82" s="3066">
        <v>20</v>
      </c>
      <c r="U82" s="3066">
        <v>700</v>
      </c>
      <c r="V82" s="3066" t="s">
        <v>3560</v>
      </c>
      <c r="W82" s="3066" t="s">
        <v>3568</v>
      </c>
      <c r="X82" s="3066">
        <v>2</v>
      </c>
      <c r="Y82" s="3066">
        <v>840</v>
      </c>
      <c r="Z82" s="3066" t="s">
        <v>3568</v>
      </c>
      <c r="AA82" s="3066" t="s">
        <v>3560</v>
      </c>
      <c r="AB82" s="3066" t="s">
        <v>3941</v>
      </c>
      <c r="AC82" s="3066" t="s">
        <v>3941</v>
      </c>
      <c r="AD82" s="3066" t="s">
        <v>3941</v>
      </c>
      <c r="AE82" s="3066" t="s">
        <v>3560</v>
      </c>
      <c r="AF82" s="3067">
        <v>700</v>
      </c>
      <c r="AG82" s="3066">
        <v>700</v>
      </c>
      <c r="AH82" s="3066">
        <v>70</v>
      </c>
      <c r="AI82" s="3066">
        <v>70</v>
      </c>
      <c r="AJ82" s="3066">
        <v>58.63</v>
      </c>
      <c r="AK82" s="3066">
        <v>58.63</v>
      </c>
      <c r="AL82" s="3066">
        <v>828.63</v>
      </c>
      <c r="AM82" s="3066">
        <v>828.63</v>
      </c>
      <c r="AN82" s="3066" t="s">
        <v>3560</v>
      </c>
      <c r="AP82" s="3068">
        <f t="shared" si="1"/>
        <v>20</v>
      </c>
    </row>
    <row r="83" spans="2:42" ht="27" customHeight="1">
      <c r="B83" s="3066">
        <v>91</v>
      </c>
      <c r="C83" s="3066" t="s">
        <v>3214</v>
      </c>
      <c r="D83" s="3066" t="s">
        <v>3926</v>
      </c>
      <c r="E83" s="3066" t="s">
        <v>3962</v>
      </c>
      <c r="F83" s="3066" t="s">
        <v>3917</v>
      </c>
      <c r="G83" s="3066" t="s">
        <v>1373</v>
      </c>
      <c r="H83" s="3066" t="s">
        <v>3560</v>
      </c>
      <c r="I83" s="3066" t="s">
        <v>3722</v>
      </c>
      <c r="J83" s="3066" t="s">
        <v>3723</v>
      </c>
      <c r="K83" s="3066" t="s">
        <v>3560</v>
      </c>
      <c r="L83" s="3066" t="s">
        <v>3724</v>
      </c>
      <c r="M83" s="3066" t="s">
        <v>3963</v>
      </c>
      <c r="N83" s="3066">
        <v>35</v>
      </c>
      <c r="O83" s="3066" t="s">
        <v>3942</v>
      </c>
      <c r="P83" s="3066" t="s">
        <v>3566</v>
      </c>
      <c r="Q83" s="3066">
        <v>0</v>
      </c>
      <c r="R83" s="3066">
        <v>0</v>
      </c>
      <c r="S83" s="3066" t="s">
        <v>3577</v>
      </c>
      <c r="T83" s="3066">
        <v>21</v>
      </c>
      <c r="U83" s="3066">
        <v>735</v>
      </c>
      <c r="V83" s="3066" t="s">
        <v>3560</v>
      </c>
      <c r="W83" s="3066" t="s">
        <v>3568</v>
      </c>
      <c r="X83" s="3066">
        <v>2</v>
      </c>
      <c r="Y83" s="3066">
        <v>840</v>
      </c>
      <c r="Z83" s="3066" t="s">
        <v>3568</v>
      </c>
      <c r="AA83" s="3066" t="s">
        <v>3560</v>
      </c>
      <c r="AB83" s="3066" t="s">
        <v>3943</v>
      </c>
      <c r="AC83" s="3066" t="s">
        <v>3943</v>
      </c>
      <c r="AD83" s="3066" t="s">
        <v>3943</v>
      </c>
      <c r="AE83" s="3066" t="s">
        <v>3560</v>
      </c>
      <c r="AF83" s="3067">
        <v>700</v>
      </c>
      <c r="AG83" s="3066">
        <v>700</v>
      </c>
      <c r="AH83" s="3066">
        <v>70</v>
      </c>
      <c r="AI83" s="3066">
        <v>70</v>
      </c>
      <c r="AJ83" s="3066">
        <v>58.63</v>
      </c>
      <c r="AK83" s="3066">
        <v>58.63</v>
      </c>
      <c r="AL83" s="3066">
        <v>828.63</v>
      </c>
      <c r="AM83" s="3066">
        <v>828.63</v>
      </c>
      <c r="AN83" s="3066" t="s">
        <v>3560</v>
      </c>
      <c r="AP83" s="3068">
        <f t="shared" si="1"/>
        <v>20</v>
      </c>
    </row>
    <row r="84" spans="2:42" ht="27" customHeight="1">
      <c r="B84" s="3066">
        <v>92</v>
      </c>
      <c r="C84" s="3066" t="s">
        <v>3214</v>
      </c>
      <c r="D84" s="3066" t="s">
        <v>3926</v>
      </c>
      <c r="E84" s="3066" t="s">
        <v>3964</v>
      </c>
      <c r="F84" s="3066" t="s">
        <v>3917</v>
      </c>
      <c r="G84" s="3066" t="s">
        <v>1373</v>
      </c>
      <c r="H84" s="3066" t="s">
        <v>3560</v>
      </c>
      <c r="I84" s="3066" t="s">
        <v>3722</v>
      </c>
      <c r="J84" s="3066" t="s">
        <v>3723</v>
      </c>
      <c r="K84" s="3066" t="s">
        <v>3560</v>
      </c>
      <c r="L84" s="3066" t="s">
        <v>3724</v>
      </c>
      <c r="M84" s="3066" t="s">
        <v>3965</v>
      </c>
      <c r="N84" s="3066">
        <v>35</v>
      </c>
      <c r="O84" s="3066" t="s">
        <v>3939</v>
      </c>
      <c r="P84" s="3066" t="s">
        <v>3940</v>
      </c>
      <c r="Q84" s="3066">
        <v>1</v>
      </c>
      <c r="R84" s="3066">
        <v>0</v>
      </c>
      <c r="S84" s="3066" t="s">
        <v>3577</v>
      </c>
      <c r="T84" s="3066">
        <v>20</v>
      </c>
      <c r="U84" s="3066">
        <v>700</v>
      </c>
      <c r="V84" s="3066" t="s">
        <v>3560</v>
      </c>
      <c r="W84" s="3066" t="s">
        <v>3568</v>
      </c>
      <c r="X84" s="3066">
        <v>2</v>
      </c>
      <c r="Y84" s="3066">
        <v>840</v>
      </c>
      <c r="Z84" s="3066" t="s">
        <v>3568</v>
      </c>
      <c r="AA84" s="3066" t="s">
        <v>3560</v>
      </c>
      <c r="AB84" s="3066" t="s">
        <v>3941</v>
      </c>
      <c r="AC84" s="3066" t="s">
        <v>3941</v>
      </c>
      <c r="AD84" s="3066" t="s">
        <v>3941</v>
      </c>
      <c r="AE84" s="3066" t="s">
        <v>3560</v>
      </c>
      <c r="AF84" s="3067">
        <v>700</v>
      </c>
      <c r="AG84" s="3066">
        <v>700</v>
      </c>
      <c r="AH84" s="3066">
        <v>70</v>
      </c>
      <c r="AI84" s="3066">
        <v>70</v>
      </c>
      <c r="AJ84" s="3066">
        <v>39.42</v>
      </c>
      <c r="AK84" s="3066">
        <v>39.42</v>
      </c>
      <c r="AL84" s="3066">
        <v>809.42</v>
      </c>
      <c r="AM84" s="3066">
        <v>809.42</v>
      </c>
      <c r="AN84" s="3066" t="s">
        <v>3560</v>
      </c>
      <c r="AP84" s="3068">
        <f t="shared" si="1"/>
        <v>20</v>
      </c>
    </row>
    <row r="85" spans="2:42" ht="27" customHeight="1">
      <c r="B85" s="3066">
        <v>93</v>
      </c>
      <c r="C85" s="3066" t="s">
        <v>3214</v>
      </c>
      <c r="D85" s="3066" t="s">
        <v>3926</v>
      </c>
      <c r="E85" s="3066" t="s">
        <v>3964</v>
      </c>
      <c r="F85" s="3066" t="s">
        <v>3917</v>
      </c>
      <c r="G85" s="3066" t="s">
        <v>1373</v>
      </c>
      <c r="H85" s="3066" t="s">
        <v>3560</v>
      </c>
      <c r="I85" s="3066" t="s">
        <v>3722</v>
      </c>
      <c r="J85" s="3066" t="s">
        <v>3723</v>
      </c>
      <c r="K85" s="3066" t="s">
        <v>3560</v>
      </c>
      <c r="L85" s="3066" t="s">
        <v>3724</v>
      </c>
      <c r="M85" s="3066" t="s">
        <v>3965</v>
      </c>
      <c r="N85" s="3066">
        <v>35</v>
      </c>
      <c r="O85" s="3066" t="s">
        <v>3942</v>
      </c>
      <c r="P85" s="3066" t="s">
        <v>3566</v>
      </c>
      <c r="Q85" s="3066">
        <v>0</v>
      </c>
      <c r="R85" s="3066">
        <v>0</v>
      </c>
      <c r="S85" s="3066" t="s">
        <v>3577</v>
      </c>
      <c r="T85" s="3066">
        <v>21</v>
      </c>
      <c r="U85" s="3066">
        <v>735</v>
      </c>
      <c r="V85" s="3066" t="s">
        <v>3560</v>
      </c>
      <c r="W85" s="3066" t="s">
        <v>3568</v>
      </c>
      <c r="X85" s="3066">
        <v>2</v>
      </c>
      <c r="Y85" s="3066">
        <v>840</v>
      </c>
      <c r="Z85" s="3066" t="s">
        <v>3568</v>
      </c>
      <c r="AA85" s="3066" t="s">
        <v>3560</v>
      </c>
      <c r="AB85" s="3066" t="s">
        <v>3943</v>
      </c>
      <c r="AC85" s="3066" t="s">
        <v>3943</v>
      </c>
      <c r="AD85" s="3066" t="s">
        <v>3943</v>
      </c>
      <c r="AE85" s="3066" t="s">
        <v>3560</v>
      </c>
      <c r="AF85" s="3067">
        <v>700</v>
      </c>
      <c r="AG85" s="3066">
        <v>700</v>
      </c>
      <c r="AH85" s="3066">
        <v>70</v>
      </c>
      <c r="AI85" s="3066">
        <v>70</v>
      </c>
      <c r="AJ85" s="3066">
        <v>39.42</v>
      </c>
      <c r="AK85" s="3066">
        <v>39.42</v>
      </c>
      <c r="AL85" s="3066">
        <v>809.42</v>
      </c>
      <c r="AM85" s="3066">
        <v>809.42</v>
      </c>
      <c r="AN85" s="3066" t="s">
        <v>3560</v>
      </c>
      <c r="AP85" s="3068">
        <f t="shared" si="1"/>
        <v>20</v>
      </c>
    </row>
    <row r="86" spans="2:42" ht="27" customHeight="1">
      <c r="B86" s="3066">
        <v>94</v>
      </c>
      <c r="C86" s="3066" t="s">
        <v>3214</v>
      </c>
      <c r="D86" s="3066" t="s">
        <v>3926</v>
      </c>
      <c r="E86" s="3066" t="s">
        <v>3966</v>
      </c>
      <c r="F86" s="3066" t="s">
        <v>3917</v>
      </c>
      <c r="G86" s="3066" t="s">
        <v>1373</v>
      </c>
      <c r="H86" s="3066" t="s">
        <v>3560</v>
      </c>
      <c r="I86" s="3066" t="s">
        <v>3722</v>
      </c>
      <c r="J86" s="3066" t="s">
        <v>3723</v>
      </c>
      <c r="K86" s="3066" t="s">
        <v>3560</v>
      </c>
      <c r="L86" s="3066" t="s">
        <v>3724</v>
      </c>
      <c r="M86" s="3066" t="s">
        <v>3967</v>
      </c>
      <c r="N86" s="3066">
        <v>35</v>
      </c>
      <c r="O86" s="3066" t="s">
        <v>3939</v>
      </c>
      <c r="P86" s="3066" t="s">
        <v>3940</v>
      </c>
      <c r="Q86" s="3066">
        <v>1</v>
      </c>
      <c r="R86" s="3066">
        <v>6930</v>
      </c>
      <c r="S86" s="3066" t="s">
        <v>3567</v>
      </c>
      <c r="T86" s="3066">
        <v>20</v>
      </c>
      <c r="U86" s="3066">
        <v>700</v>
      </c>
      <c r="V86" s="3066" t="s">
        <v>3560</v>
      </c>
      <c r="W86" s="3066" t="s">
        <v>3568</v>
      </c>
      <c r="X86" s="3066">
        <v>2</v>
      </c>
      <c r="Y86" s="3066">
        <v>840</v>
      </c>
      <c r="Z86" s="3066" t="s">
        <v>3568</v>
      </c>
      <c r="AA86" s="3066" t="s">
        <v>3560</v>
      </c>
      <c r="AB86" s="3066" t="s">
        <v>3941</v>
      </c>
      <c r="AC86" s="3066" t="s">
        <v>3941</v>
      </c>
      <c r="AD86" s="3066" t="s">
        <v>3941</v>
      </c>
      <c r="AE86" s="3066" t="s">
        <v>3560</v>
      </c>
      <c r="AF86" s="3067">
        <v>700</v>
      </c>
      <c r="AG86" s="3066">
        <v>700</v>
      </c>
      <c r="AH86" s="3066">
        <v>70</v>
      </c>
      <c r="AI86" s="3066">
        <v>70</v>
      </c>
      <c r="AJ86" s="3066">
        <v>55.7</v>
      </c>
      <c r="AK86" s="3066">
        <v>55.7</v>
      </c>
      <c r="AL86" s="3066">
        <v>825.7</v>
      </c>
      <c r="AM86" s="3066">
        <v>825.7</v>
      </c>
      <c r="AN86" s="3066" t="s">
        <v>3560</v>
      </c>
      <c r="AP86" s="3068">
        <f t="shared" si="1"/>
        <v>20</v>
      </c>
    </row>
    <row r="87" spans="2:42" ht="27" customHeight="1">
      <c r="B87" s="3066">
        <v>95</v>
      </c>
      <c r="C87" s="3066" t="s">
        <v>3214</v>
      </c>
      <c r="D87" s="3066" t="s">
        <v>3926</v>
      </c>
      <c r="E87" s="3066" t="s">
        <v>3966</v>
      </c>
      <c r="F87" s="3066" t="s">
        <v>3917</v>
      </c>
      <c r="G87" s="3066" t="s">
        <v>1373</v>
      </c>
      <c r="H87" s="3066" t="s">
        <v>3560</v>
      </c>
      <c r="I87" s="3066" t="s">
        <v>3722</v>
      </c>
      <c r="J87" s="3066" t="s">
        <v>3723</v>
      </c>
      <c r="K87" s="3066" t="s">
        <v>3560</v>
      </c>
      <c r="L87" s="3066" t="s">
        <v>3724</v>
      </c>
      <c r="M87" s="3066" t="s">
        <v>3967</v>
      </c>
      <c r="N87" s="3066">
        <v>35</v>
      </c>
      <c r="O87" s="3066" t="s">
        <v>3942</v>
      </c>
      <c r="P87" s="3066" t="s">
        <v>3566</v>
      </c>
      <c r="Q87" s="3066">
        <v>0</v>
      </c>
      <c r="R87" s="3066">
        <v>6930</v>
      </c>
      <c r="S87" s="3066" t="s">
        <v>3567</v>
      </c>
      <c r="T87" s="3066">
        <v>21</v>
      </c>
      <c r="U87" s="3066">
        <v>735</v>
      </c>
      <c r="V87" s="3066" t="s">
        <v>3560</v>
      </c>
      <c r="W87" s="3066" t="s">
        <v>3568</v>
      </c>
      <c r="X87" s="3066">
        <v>2</v>
      </c>
      <c r="Y87" s="3066">
        <v>840</v>
      </c>
      <c r="Z87" s="3066" t="s">
        <v>3568</v>
      </c>
      <c r="AA87" s="3066" t="s">
        <v>3560</v>
      </c>
      <c r="AB87" s="3066" t="s">
        <v>3943</v>
      </c>
      <c r="AC87" s="3066" t="s">
        <v>3943</v>
      </c>
      <c r="AD87" s="3066" t="s">
        <v>3943</v>
      </c>
      <c r="AE87" s="3066" t="s">
        <v>3560</v>
      </c>
      <c r="AF87" s="3067">
        <v>700</v>
      </c>
      <c r="AG87" s="3066">
        <v>700</v>
      </c>
      <c r="AH87" s="3066">
        <v>70</v>
      </c>
      <c r="AI87" s="3066">
        <v>70</v>
      </c>
      <c r="AJ87" s="3066">
        <v>55.7</v>
      </c>
      <c r="AK87" s="3066">
        <v>55.7</v>
      </c>
      <c r="AL87" s="3066">
        <v>825.7</v>
      </c>
      <c r="AM87" s="3066">
        <v>825.7</v>
      </c>
      <c r="AN87" s="3066" t="s">
        <v>3560</v>
      </c>
      <c r="AP87" s="3068">
        <f t="shared" si="1"/>
        <v>20</v>
      </c>
    </row>
    <row r="88" spans="2:42" ht="27" customHeight="1">
      <c r="B88" s="3066">
        <v>96</v>
      </c>
      <c r="C88" s="3066" t="s">
        <v>3214</v>
      </c>
      <c r="D88" s="3066" t="s">
        <v>3926</v>
      </c>
      <c r="E88" s="3066" t="s">
        <v>3968</v>
      </c>
      <c r="F88" s="3066" t="s">
        <v>3917</v>
      </c>
      <c r="G88" s="3066" t="s">
        <v>1373</v>
      </c>
      <c r="H88" s="3066" t="s">
        <v>3560</v>
      </c>
      <c r="I88" s="3066" t="s">
        <v>3722</v>
      </c>
      <c r="J88" s="3066" t="s">
        <v>3723</v>
      </c>
      <c r="K88" s="3066" t="s">
        <v>3560</v>
      </c>
      <c r="L88" s="3066" t="s">
        <v>3724</v>
      </c>
      <c r="M88" s="3066" t="s">
        <v>3969</v>
      </c>
      <c r="N88" s="3066">
        <v>35</v>
      </c>
      <c r="O88" s="3066" t="s">
        <v>3939</v>
      </c>
      <c r="P88" s="3066" t="s">
        <v>3940</v>
      </c>
      <c r="Q88" s="3066">
        <v>1</v>
      </c>
      <c r="R88" s="3066">
        <v>0</v>
      </c>
      <c r="S88" s="3066" t="s">
        <v>3577</v>
      </c>
      <c r="T88" s="3066">
        <v>20</v>
      </c>
      <c r="U88" s="3066">
        <v>700</v>
      </c>
      <c r="V88" s="3066" t="s">
        <v>3560</v>
      </c>
      <c r="W88" s="3066" t="s">
        <v>3568</v>
      </c>
      <c r="X88" s="3066">
        <v>2</v>
      </c>
      <c r="Y88" s="3066">
        <v>840</v>
      </c>
      <c r="Z88" s="3066" t="s">
        <v>3568</v>
      </c>
      <c r="AA88" s="3066" t="s">
        <v>3560</v>
      </c>
      <c r="AB88" s="3066" t="s">
        <v>3941</v>
      </c>
      <c r="AC88" s="3066" t="s">
        <v>3941</v>
      </c>
      <c r="AD88" s="3066" t="s">
        <v>3941</v>
      </c>
      <c r="AE88" s="3066" t="s">
        <v>3560</v>
      </c>
      <c r="AF88" s="3067">
        <v>700</v>
      </c>
      <c r="AG88" s="3066">
        <v>700</v>
      </c>
      <c r="AH88" s="3066">
        <v>70</v>
      </c>
      <c r="AI88" s="3066">
        <v>70</v>
      </c>
      <c r="AJ88" s="3066">
        <v>54.9</v>
      </c>
      <c r="AK88" s="3066">
        <v>54.9</v>
      </c>
      <c r="AL88" s="3066">
        <v>824.9</v>
      </c>
      <c r="AM88" s="3066">
        <v>824.9</v>
      </c>
      <c r="AN88" s="3066" t="s">
        <v>3560</v>
      </c>
      <c r="AP88" s="3068">
        <f t="shared" si="1"/>
        <v>20</v>
      </c>
    </row>
    <row r="89" spans="2:42" ht="27" customHeight="1">
      <c r="B89" s="3066">
        <v>97</v>
      </c>
      <c r="C89" s="3066" t="s">
        <v>3214</v>
      </c>
      <c r="D89" s="3066" t="s">
        <v>3926</v>
      </c>
      <c r="E89" s="3066" t="s">
        <v>3968</v>
      </c>
      <c r="F89" s="3066" t="s">
        <v>3917</v>
      </c>
      <c r="G89" s="3066" t="s">
        <v>1373</v>
      </c>
      <c r="H89" s="3066" t="s">
        <v>3560</v>
      </c>
      <c r="I89" s="3066" t="s">
        <v>3722</v>
      </c>
      <c r="J89" s="3066" t="s">
        <v>3723</v>
      </c>
      <c r="K89" s="3066" t="s">
        <v>3560</v>
      </c>
      <c r="L89" s="3066" t="s">
        <v>3724</v>
      </c>
      <c r="M89" s="3066" t="s">
        <v>3969</v>
      </c>
      <c r="N89" s="3066">
        <v>35</v>
      </c>
      <c r="O89" s="3066" t="s">
        <v>3942</v>
      </c>
      <c r="P89" s="3066" t="s">
        <v>3566</v>
      </c>
      <c r="Q89" s="3066">
        <v>0</v>
      </c>
      <c r="R89" s="3066">
        <v>0</v>
      </c>
      <c r="S89" s="3066" t="s">
        <v>3577</v>
      </c>
      <c r="T89" s="3066">
        <v>21</v>
      </c>
      <c r="U89" s="3066">
        <v>735</v>
      </c>
      <c r="V89" s="3066" t="s">
        <v>3560</v>
      </c>
      <c r="W89" s="3066" t="s">
        <v>3568</v>
      </c>
      <c r="X89" s="3066">
        <v>2</v>
      </c>
      <c r="Y89" s="3066">
        <v>840</v>
      </c>
      <c r="Z89" s="3066" t="s">
        <v>3568</v>
      </c>
      <c r="AA89" s="3066" t="s">
        <v>3560</v>
      </c>
      <c r="AB89" s="3066" t="s">
        <v>3943</v>
      </c>
      <c r="AC89" s="3066" t="s">
        <v>3943</v>
      </c>
      <c r="AD89" s="3066" t="s">
        <v>3943</v>
      </c>
      <c r="AE89" s="3066" t="s">
        <v>3560</v>
      </c>
      <c r="AF89" s="3067">
        <v>700</v>
      </c>
      <c r="AG89" s="3066">
        <v>700</v>
      </c>
      <c r="AH89" s="3066">
        <v>70</v>
      </c>
      <c r="AI89" s="3066">
        <v>70</v>
      </c>
      <c r="AJ89" s="3066">
        <v>54.9</v>
      </c>
      <c r="AK89" s="3066">
        <v>54.9</v>
      </c>
      <c r="AL89" s="3066">
        <v>824.9</v>
      </c>
      <c r="AM89" s="3066">
        <v>824.9</v>
      </c>
      <c r="AN89" s="3066" t="s">
        <v>3560</v>
      </c>
      <c r="AP89" s="3068">
        <f t="shared" si="1"/>
        <v>20</v>
      </c>
    </row>
    <row r="90" spans="2:42" ht="27" customHeight="1">
      <c r="B90" s="3066">
        <v>98</v>
      </c>
      <c r="C90" s="3066" t="s">
        <v>3214</v>
      </c>
      <c r="D90" s="3066" t="s">
        <v>3926</v>
      </c>
      <c r="E90" s="3066" t="s">
        <v>3970</v>
      </c>
      <c r="F90" s="3066" t="s">
        <v>3917</v>
      </c>
      <c r="G90" s="3066" t="s">
        <v>1373</v>
      </c>
      <c r="H90" s="3066" t="s">
        <v>3560</v>
      </c>
      <c r="I90" s="3066" t="s">
        <v>3722</v>
      </c>
      <c r="J90" s="3066" t="s">
        <v>3723</v>
      </c>
      <c r="K90" s="3066" t="s">
        <v>3560</v>
      </c>
      <c r="L90" s="3066" t="s">
        <v>3724</v>
      </c>
      <c r="M90" s="3066" t="s">
        <v>3971</v>
      </c>
      <c r="N90" s="3066">
        <v>35</v>
      </c>
      <c r="O90" s="3066" t="s">
        <v>3939</v>
      </c>
      <c r="P90" s="3066" t="s">
        <v>3940</v>
      </c>
      <c r="Q90" s="3066">
        <v>1</v>
      </c>
      <c r="R90" s="3066">
        <v>0</v>
      </c>
      <c r="S90" s="3066" t="s">
        <v>3577</v>
      </c>
      <c r="T90" s="3066">
        <v>20</v>
      </c>
      <c r="U90" s="3066">
        <v>700</v>
      </c>
      <c r="V90" s="3066" t="s">
        <v>3560</v>
      </c>
      <c r="W90" s="3066" t="s">
        <v>3568</v>
      </c>
      <c r="X90" s="3066">
        <v>2</v>
      </c>
      <c r="Y90" s="3066">
        <v>840</v>
      </c>
      <c r="Z90" s="3066" t="s">
        <v>3568</v>
      </c>
      <c r="AA90" s="3066" t="s">
        <v>3560</v>
      </c>
      <c r="AB90" s="3066" t="s">
        <v>3941</v>
      </c>
      <c r="AC90" s="3066" t="s">
        <v>3941</v>
      </c>
      <c r="AD90" s="3066" t="s">
        <v>3941</v>
      </c>
      <c r="AE90" s="3066" t="s">
        <v>3560</v>
      </c>
      <c r="AF90" s="3067">
        <v>700</v>
      </c>
      <c r="AG90" s="3066">
        <v>700</v>
      </c>
      <c r="AH90" s="3066">
        <v>70</v>
      </c>
      <c r="AI90" s="3066">
        <v>70</v>
      </c>
      <c r="AJ90" s="3066">
        <v>366.35</v>
      </c>
      <c r="AK90" s="3066">
        <v>366.35</v>
      </c>
      <c r="AL90" s="3066">
        <v>1136.3499999999999</v>
      </c>
      <c r="AM90" s="3066">
        <v>1136.3499999999999</v>
      </c>
      <c r="AN90" s="3066" t="s">
        <v>3560</v>
      </c>
      <c r="AP90" s="3068">
        <f t="shared" si="1"/>
        <v>20</v>
      </c>
    </row>
    <row r="91" spans="2:42" ht="27" customHeight="1">
      <c r="B91" s="3066">
        <v>99</v>
      </c>
      <c r="C91" s="3066" t="s">
        <v>3214</v>
      </c>
      <c r="D91" s="3066" t="s">
        <v>3926</v>
      </c>
      <c r="E91" s="3066" t="s">
        <v>3970</v>
      </c>
      <c r="F91" s="3066" t="s">
        <v>3917</v>
      </c>
      <c r="G91" s="3066" t="s">
        <v>1373</v>
      </c>
      <c r="H91" s="3066" t="s">
        <v>3560</v>
      </c>
      <c r="I91" s="3066" t="s">
        <v>3722</v>
      </c>
      <c r="J91" s="3066" t="s">
        <v>3723</v>
      </c>
      <c r="K91" s="3066" t="s">
        <v>3560</v>
      </c>
      <c r="L91" s="3066" t="s">
        <v>3724</v>
      </c>
      <c r="M91" s="3066" t="s">
        <v>3971</v>
      </c>
      <c r="N91" s="3066">
        <v>35</v>
      </c>
      <c r="O91" s="3066" t="s">
        <v>3942</v>
      </c>
      <c r="P91" s="3066" t="s">
        <v>3566</v>
      </c>
      <c r="Q91" s="3066">
        <v>0</v>
      </c>
      <c r="R91" s="3066">
        <v>0</v>
      </c>
      <c r="S91" s="3066" t="s">
        <v>3577</v>
      </c>
      <c r="T91" s="3066">
        <v>21</v>
      </c>
      <c r="U91" s="3066">
        <v>735</v>
      </c>
      <c r="V91" s="3066" t="s">
        <v>3560</v>
      </c>
      <c r="W91" s="3066" t="s">
        <v>3568</v>
      </c>
      <c r="X91" s="3066">
        <v>2</v>
      </c>
      <c r="Y91" s="3066">
        <v>840</v>
      </c>
      <c r="Z91" s="3066" t="s">
        <v>3568</v>
      </c>
      <c r="AA91" s="3066" t="s">
        <v>3560</v>
      </c>
      <c r="AB91" s="3066" t="s">
        <v>3943</v>
      </c>
      <c r="AC91" s="3066" t="s">
        <v>3943</v>
      </c>
      <c r="AD91" s="3066" t="s">
        <v>3943</v>
      </c>
      <c r="AE91" s="3066" t="s">
        <v>3560</v>
      </c>
      <c r="AF91" s="3067">
        <v>700</v>
      </c>
      <c r="AG91" s="3066">
        <v>700</v>
      </c>
      <c r="AH91" s="3066">
        <v>70</v>
      </c>
      <c r="AI91" s="3066">
        <v>70</v>
      </c>
      <c r="AJ91" s="3066">
        <v>366.35</v>
      </c>
      <c r="AK91" s="3066">
        <v>366.35</v>
      </c>
      <c r="AL91" s="3066">
        <v>1136.3499999999999</v>
      </c>
      <c r="AM91" s="3066">
        <v>1136.3499999999999</v>
      </c>
      <c r="AN91" s="3066" t="s">
        <v>3560</v>
      </c>
      <c r="AP91" s="3068">
        <f t="shared" si="1"/>
        <v>20</v>
      </c>
    </row>
    <row r="92" spans="2:42" ht="27" customHeight="1">
      <c r="B92" s="3066">
        <v>100</v>
      </c>
      <c r="C92" s="3066" t="s">
        <v>3214</v>
      </c>
      <c r="D92" s="3066" t="s">
        <v>3972</v>
      </c>
      <c r="E92" s="3066" t="s">
        <v>3973</v>
      </c>
      <c r="F92" s="3066" t="s">
        <v>3917</v>
      </c>
      <c r="G92" s="3066" t="s">
        <v>1373</v>
      </c>
      <c r="H92" s="3066" t="s">
        <v>3560</v>
      </c>
      <c r="I92" s="3066" t="s">
        <v>3909</v>
      </c>
      <c r="J92" s="3066" t="s">
        <v>3910</v>
      </c>
      <c r="K92" s="3066" t="s">
        <v>3560</v>
      </c>
      <c r="L92" s="3066" t="s">
        <v>3911</v>
      </c>
      <c r="M92" s="3066" t="s">
        <v>3974</v>
      </c>
      <c r="N92" s="3066">
        <v>70</v>
      </c>
      <c r="O92" s="3066" t="s">
        <v>3919</v>
      </c>
      <c r="P92" s="3066" t="s">
        <v>3566</v>
      </c>
      <c r="Q92" s="3066">
        <v>1</v>
      </c>
      <c r="R92" s="3066">
        <v>684</v>
      </c>
      <c r="S92" s="3066" t="s">
        <v>3567</v>
      </c>
      <c r="T92" s="3066">
        <v>20</v>
      </c>
      <c r="U92" s="3066">
        <v>1388</v>
      </c>
      <c r="V92" s="3066" t="s">
        <v>3560</v>
      </c>
      <c r="W92" s="3066" t="s">
        <v>3568</v>
      </c>
      <c r="X92" s="3066">
        <v>2</v>
      </c>
      <c r="Y92" s="3066">
        <v>1665.6</v>
      </c>
      <c r="Z92" s="3066" t="s">
        <v>3568</v>
      </c>
      <c r="AA92" s="3066" t="s">
        <v>3560</v>
      </c>
      <c r="AB92" s="3066" t="s">
        <v>3920</v>
      </c>
      <c r="AC92" s="3066" t="s">
        <v>3920</v>
      </c>
      <c r="AD92" s="3066" t="s">
        <v>3920</v>
      </c>
      <c r="AE92" s="3066" t="s">
        <v>3560</v>
      </c>
      <c r="AF92" s="3067">
        <v>1400</v>
      </c>
      <c r="AG92" s="3066">
        <v>0</v>
      </c>
      <c r="AH92" s="3066">
        <v>140</v>
      </c>
      <c r="AI92" s="3066">
        <v>0</v>
      </c>
      <c r="AJ92" s="3066">
        <v>292.32</v>
      </c>
      <c r="AK92" s="3066">
        <v>0</v>
      </c>
      <c r="AL92" s="3066">
        <v>1832.32</v>
      </c>
      <c r="AM92" s="3066">
        <v>0</v>
      </c>
      <c r="AN92" s="3066" t="s">
        <v>3560</v>
      </c>
      <c r="AP92" s="3068">
        <f t="shared" si="1"/>
        <v>20</v>
      </c>
    </row>
    <row r="93" spans="2:42" ht="27" customHeight="1">
      <c r="B93" s="3066">
        <v>101</v>
      </c>
      <c r="C93" s="3066" t="s">
        <v>3214</v>
      </c>
      <c r="D93" s="3066" t="s">
        <v>3915</v>
      </c>
      <c r="E93" s="3066" t="s">
        <v>3975</v>
      </c>
      <c r="F93" s="3066" t="s">
        <v>3917</v>
      </c>
      <c r="G93" s="3066" t="s">
        <v>3560</v>
      </c>
      <c r="H93" s="3066" t="s">
        <v>3560</v>
      </c>
      <c r="I93" s="3066" t="s">
        <v>3976</v>
      </c>
      <c r="J93" s="3066" t="s">
        <v>3976</v>
      </c>
      <c r="K93" s="3066" t="s">
        <v>3560</v>
      </c>
      <c r="L93" s="3066" t="s">
        <v>3977</v>
      </c>
      <c r="M93" s="3066" t="s">
        <v>3978</v>
      </c>
      <c r="N93" s="3066">
        <v>35</v>
      </c>
      <c r="O93" s="3066" t="s">
        <v>3931</v>
      </c>
      <c r="P93" s="3066" t="s">
        <v>3566</v>
      </c>
      <c r="Q93" s="3066">
        <v>1</v>
      </c>
      <c r="R93" s="3066">
        <v>2340</v>
      </c>
      <c r="S93" s="3066" t="s">
        <v>3567</v>
      </c>
      <c r="T93" s="3066">
        <v>20</v>
      </c>
      <c r="U93" s="3066">
        <v>700</v>
      </c>
      <c r="V93" s="3066" t="s">
        <v>3560</v>
      </c>
      <c r="W93" s="3066" t="s">
        <v>3568</v>
      </c>
      <c r="X93" s="3066">
        <v>2.29</v>
      </c>
      <c r="Y93" s="3066">
        <v>960</v>
      </c>
      <c r="Z93" s="3066" t="s">
        <v>3568</v>
      </c>
      <c r="AA93" s="3066" t="s">
        <v>3560</v>
      </c>
      <c r="AB93" s="3066" t="s">
        <v>3932</v>
      </c>
      <c r="AC93" s="3066" t="s">
        <v>3932</v>
      </c>
      <c r="AD93" s="3066" t="s">
        <v>3932</v>
      </c>
      <c r="AE93" s="3066" t="s">
        <v>3560</v>
      </c>
      <c r="AF93" s="3067">
        <v>700</v>
      </c>
      <c r="AG93" s="3066">
        <v>700</v>
      </c>
      <c r="AH93" s="3066">
        <v>80</v>
      </c>
      <c r="AI93" s="3066">
        <v>80</v>
      </c>
      <c r="AJ93" s="3066">
        <v>133.86000000000001</v>
      </c>
      <c r="AK93" s="3066">
        <v>133.86000000000001</v>
      </c>
      <c r="AL93" s="3066">
        <v>913.86</v>
      </c>
      <c r="AM93" s="3066">
        <v>913.86</v>
      </c>
      <c r="AN93" s="3066" t="s">
        <v>3560</v>
      </c>
      <c r="AP93" s="3068">
        <f t="shared" si="1"/>
        <v>20</v>
      </c>
    </row>
    <row r="94" spans="2:42" ht="27" customHeight="1">
      <c r="B94" s="3066">
        <v>102</v>
      </c>
      <c r="C94" s="3066" t="s">
        <v>3214</v>
      </c>
      <c r="D94" s="3066" t="s">
        <v>3915</v>
      </c>
      <c r="E94" s="3066" t="s">
        <v>3979</v>
      </c>
      <c r="F94" s="3066" t="s">
        <v>3917</v>
      </c>
      <c r="G94" s="3066" t="s">
        <v>3560</v>
      </c>
      <c r="H94" s="3066" t="s">
        <v>3560</v>
      </c>
      <c r="I94" s="3066" t="s">
        <v>3980</v>
      </c>
      <c r="J94" s="3066" t="s">
        <v>3980</v>
      </c>
      <c r="K94" s="3066" t="s">
        <v>3560</v>
      </c>
      <c r="L94" s="3066" t="s">
        <v>3981</v>
      </c>
      <c r="M94" s="3066" t="s">
        <v>3982</v>
      </c>
      <c r="N94" s="3066">
        <v>35</v>
      </c>
      <c r="O94" s="3066" t="s">
        <v>3931</v>
      </c>
      <c r="P94" s="3066" t="s">
        <v>3566</v>
      </c>
      <c r="Q94" s="3066">
        <v>1</v>
      </c>
      <c r="R94" s="3066">
        <v>2340</v>
      </c>
      <c r="S94" s="3066" t="s">
        <v>3567</v>
      </c>
      <c r="T94" s="3066">
        <v>20</v>
      </c>
      <c r="U94" s="3066">
        <v>700</v>
      </c>
      <c r="V94" s="3066" t="s">
        <v>3560</v>
      </c>
      <c r="W94" s="3066" t="s">
        <v>3568</v>
      </c>
      <c r="X94" s="3066">
        <v>2.29</v>
      </c>
      <c r="Y94" s="3066">
        <v>960</v>
      </c>
      <c r="Z94" s="3066" t="s">
        <v>3568</v>
      </c>
      <c r="AA94" s="3066" t="s">
        <v>3560</v>
      </c>
      <c r="AB94" s="3066" t="s">
        <v>3932</v>
      </c>
      <c r="AC94" s="3066" t="s">
        <v>3932</v>
      </c>
      <c r="AD94" s="3066" t="s">
        <v>3932</v>
      </c>
      <c r="AE94" s="3066" t="s">
        <v>3560</v>
      </c>
      <c r="AF94" s="3067">
        <v>700</v>
      </c>
      <c r="AG94" s="3066">
        <v>700</v>
      </c>
      <c r="AH94" s="3066">
        <v>80</v>
      </c>
      <c r="AI94" s="3066">
        <v>80</v>
      </c>
      <c r="AJ94" s="3066">
        <v>67.569999999999993</v>
      </c>
      <c r="AK94" s="3066">
        <v>67.569999999999993</v>
      </c>
      <c r="AL94" s="3066">
        <v>847.57</v>
      </c>
      <c r="AM94" s="3066">
        <v>847.57</v>
      </c>
      <c r="AN94" s="3066" t="s">
        <v>3560</v>
      </c>
      <c r="AP94" s="3068">
        <f t="shared" si="1"/>
        <v>20</v>
      </c>
    </row>
    <row r="95" spans="2:42" ht="27" customHeight="1">
      <c r="B95" s="3066">
        <v>103</v>
      </c>
      <c r="C95" s="3066" t="s">
        <v>3214</v>
      </c>
      <c r="D95" s="3066" t="s">
        <v>3915</v>
      </c>
      <c r="E95" s="3066" t="s">
        <v>3983</v>
      </c>
      <c r="F95" s="3066" t="s">
        <v>3917</v>
      </c>
      <c r="G95" s="3066" t="s">
        <v>1373</v>
      </c>
      <c r="H95" s="3066" t="s">
        <v>3560</v>
      </c>
      <c r="I95" s="3066" t="s">
        <v>3722</v>
      </c>
      <c r="J95" s="3066" t="s">
        <v>3723</v>
      </c>
      <c r="K95" s="3066" t="s">
        <v>3560</v>
      </c>
      <c r="L95" s="3066" t="s">
        <v>3724</v>
      </c>
      <c r="M95" s="3066" t="s">
        <v>3984</v>
      </c>
      <c r="N95" s="3066">
        <v>35</v>
      </c>
      <c r="O95" s="3066" t="s">
        <v>3619</v>
      </c>
      <c r="P95" s="3066" t="s">
        <v>3566</v>
      </c>
      <c r="Q95" s="3066">
        <v>1</v>
      </c>
      <c r="R95" s="3066">
        <v>4620</v>
      </c>
      <c r="S95" s="3066" t="s">
        <v>3567</v>
      </c>
      <c r="T95" s="3066">
        <v>20</v>
      </c>
      <c r="U95" s="3066">
        <v>700</v>
      </c>
      <c r="V95" s="3066" t="s">
        <v>3560</v>
      </c>
      <c r="W95" s="3066" t="s">
        <v>3568</v>
      </c>
      <c r="X95" s="3066">
        <v>2</v>
      </c>
      <c r="Y95" s="3066">
        <v>840</v>
      </c>
      <c r="Z95" s="3066" t="s">
        <v>3568</v>
      </c>
      <c r="AA95" s="3066" t="s">
        <v>3560</v>
      </c>
      <c r="AB95" s="3066" t="s">
        <v>3584</v>
      </c>
      <c r="AC95" s="3066" t="s">
        <v>3584</v>
      </c>
      <c r="AD95" s="3066" t="s">
        <v>3584</v>
      </c>
      <c r="AE95" s="3066" t="s">
        <v>3560</v>
      </c>
      <c r="AF95" s="3067">
        <v>700</v>
      </c>
      <c r="AG95" s="3066">
        <v>700</v>
      </c>
      <c r="AH95" s="3066">
        <v>70</v>
      </c>
      <c r="AI95" s="3066">
        <v>70</v>
      </c>
      <c r="AJ95" s="3066">
        <v>112.69</v>
      </c>
      <c r="AK95" s="3066">
        <v>112.69</v>
      </c>
      <c r="AL95" s="3066">
        <v>882.69</v>
      </c>
      <c r="AM95" s="3066">
        <v>882.69</v>
      </c>
      <c r="AN95" s="3066" t="s">
        <v>3560</v>
      </c>
      <c r="AP95" s="3068">
        <f t="shared" si="1"/>
        <v>20</v>
      </c>
    </row>
    <row r="96" spans="2:42" ht="27" customHeight="1">
      <c r="B96" s="3066">
        <v>104</v>
      </c>
      <c r="C96" s="3066" t="s">
        <v>3214</v>
      </c>
      <c r="D96" s="3066" t="s">
        <v>3915</v>
      </c>
      <c r="E96" s="3066" t="s">
        <v>3985</v>
      </c>
      <c r="F96" s="3066" t="s">
        <v>3917</v>
      </c>
      <c r="G96" s="3066" t="s">
        <v>1373</v>
      </c>
      <c r="H96" s="3066" t="s">
        <v>3560</v>
      </c>
      <c r="I96" s="3066" t="s">
        <v>3722</v>
      </c>
      <c r="J96" s="3066" t="s">
        <v>3723</v>
      </c>
      <c r="K96" s="3066" t="s">
        <v>3560</v>
      </c>
      <c r="L96" s="3066" t="s">
        <v>3724</v>
      </c>
      <c r="M96" s="3066" t="s">
        <v>3986</v>
      </c>
      <c r="N96" s="3066">
        <v>35</v>
      </c>
      <c r="O96" s="3066" t="s">
        <v>3619</v>
      </c>
      <c r="P96" s="3066" t="s">
        <v>3566</v>
      </c>
      <c r="Q96" s="3066">
        <v>1</v>
      </c>
      <c r="R96" s="3066">
        <v>0</v>
      </c>
      <c r="S96" s="3066" t="s">
        <v>3577</v>
      </c>
      <c r="T96" s="3066">
        <v>20</v>
      </c>
      <c r="U96" s="3066">
        <v>700</v>
      </c>
      <c r="V96" s="3066" t="s">
        <v>3560</v>
      </c>
      <c r="W96" s="3066" t="s">
        <v>3568</v>
      </c>
      <c r="X96" s="3066">
        <v>2</v>
      </c>
      <c r="Y96" s="3066">
        <v>840</v>
      </c>
      <c r="Z96" s="3066" t="s">
        <v>3568</v>
      </c>
      <c r="AA96" s="3066" t="s">
        <v>3560</v>
      </c>
      <c r="AB96" s="3066" t="s">
        <v>3584</v>
      </c>
      <c r="AC96" s="3066" t="s">
        <v>3584</v>
      </c>
      <c r="AD96" s="3066" t="s">
        <v>3584</v>
      </c>
      <c r="AE96" s="3066" t="s">
        <v>3560</v>
      </c>
      <c r="AF96" s="3067">
        <v>700</v>
      </c>
      <c r="AG96" s="3066">
        <v>700</v>
      </c>
      <c r="AH96" s="3066">
        <v>70</v>
      </c>
      <c r="AI96" s="3066">
        <v>70</v>
      </c>
      <c r="AJ96" s="3066">
        <v>59.77</v>
      </c>
      <c r="AK96" s="3066">
        <v>59.77</v>
      </c>
      <c r="AL96" s="3066">
        <v>829.77</v>
      </c>
      <c r="AM96" s="3066">
        <v>829.77</v>
      </c>
      <c r="AN96" s="3066" t="s">
        <v>3560</v>
      </c>
      <c r="AP96" s="3068">
        <f t="shared" si="1"/>
        <v>20</v>
      </c>
    </row>
    <row r="97" spans="2:42" ht="27" customHeight="1">
      <c r="B97" s="3066">
        <v>105</v>
      </c>
      <c r="C97" s="3066" t="s">
        <v>3214</v>
      </c>
      <c r="D97" s="3066" t="s">
        <v>3915</v>
      </c>
      <c r="E97" s="3066" t="s">
        <v>3987</v>
      </c>
      <c r="F97" s="3066" t="s">
        <v>3917</v>
      </c>
      <c r="G97" s="3066" t="s">
        <v>3560</v>
      </c>
      <c r="H97" s="3066" t="s">
        <v>3560</v>
      </c>
      <c r="I97" s="3066" t="s">
        <v>3988</v>
      </c>
      <c r="J97" s="3066" t="s">
        <v>3989</v>
      </c>
      <c r="K97" s="3066" t="s">
        <v>3560</v>
      </c>
      <c r="L97" s="3066" t="s">
        <v>3990</v>
      </c>
      <c r="M97" s="3066" t="s">
        <v>3991</v>
      </c>
      <c r="N97" s="3066">
        <v>35</v>
      </c>
      <c r="O97" s="3066" t="s">
        <v>3992</v>
      </c>
      <c r="P97" s="3066" t="s">
        <v>3566</v>
      </c>
      <c r="Q97" s="3066">
        <v>0</v>
      </c>
      <c r="R97" s="3066">
        <v>7245</v>
      </c>
      <c r="S97" s="3066" t="s">
        <v>3567</v>
      </c>
      <c r="T97" s="3066">
        <v>21</v>
      </c>
      <c r="U97" s="3066">
        <v>735</v>
      </c>
      <c r="V97" s="3066" t="s">
        <v>3560</v>
      </c>
      <c r="W97" s="3066" t="s">
        <v>3568</v>
      </c>
      <c r="X97" s="3066">
        <v>2</v>
      </c>
      <c r="Y97" s="3066">
        <v>840</v>
      </c>
      <c r="Z97" s="3066" t="s">
        <v>3568</v>
      </c>
      <c r="AA97" s="3066" t="s">
        <v>3560</v>
      </c>
      <c r="AB97" s="3066" t="s">
        <v>3993</v>
      </c>
      <c r="AC97" s="3066" t="s">
        <v>3993</v>
      </c>
      <c r="AD97" s="3066" t="s">
        <v>3993</v>
      </c>
      <c r="AE97" s="3066" t="s">
        <v>3560</v>
      </c>
      <c r="AF97" s="3067">
        <v>1114.3499999999999</v>
      </c>
      <c r="AG97" s="3066">
        <v>0</v>
      </c>
      <c r="AH97" s="3066">
        <v>106.13</v>
      </c>
      <c r="AI97" s="3066">
        <v>0</v>
      </c>
      <c r="AJ97" s="3066">
        <v>75.72</v>
      </c>
      <c r="AK97" s="3066">
        <v>0</v>
      </c>
      <c r="AL97" s="3066">
        <v>1296.2</v>
      </c>
      <c r="AM97" s="3066">
        <v>0</v>
      </c>
      <c r="AN97" s="3066" t="s">
        <v>3560</v>
      </c>
      <c r="AP97" s="3068">
        <f t="shared" si="1"/>
        <v>31.838571428571427</v>
      </c>
    </row>
    <row r="98" spans="2:42" ht="27" customHeight="1">
      <c r="B98" s="3066">
        <v>106</v>
      </c>
      <c r="C98" s="3066" t="s">
        <v>3214</v>
      </c>
      <c r="D98" s="3066" t="s">
        <v>3915</v>
      </c>
      <c r="E98" s="3066" t="s">
        <v>3994</v>
      </c>
      <c r="F98" s="3066" t="s">
        <v>3917</v>
      </c>
      <c r="G98" s="3066" t="s">
        <v>3560</v>
      </c>
      <c r="H98" s="3066" t="s">
        <v>3560</v>
      </c>
      <c r="I98" s="3066" t="s">
        <v>3995</v>
      </c>
      <c r="J98" s="3066" t="s">
        <v>3995</v>
      </c>
      <c r="K98" s="3066" t="s">
        <v>3560</v>
      </c>
      <c r="L98" s="3066" t="s">
        <v>3996</v>
      </c>
      <c r="M98" s="3066" t="s">
        <v>3997</v>
      </c>
      <c r="N98" s="3066">
        <v>35</v>
      </c>
      <c r="O98" s="3066" t="s">
        <v>3931</v>
      </c>
      <c r="P98" s="3066" t="s">
        <v>3566</v>
      </c>
      <c r="Q98" s="3066">
        <v>1</v>
      </c>
      <c r="R98" s="3066">
        <v>2340</v>
      </c>
      <c r="S98" s="3066" t="s">
        <v>3567</v>
      </c>
      <c r="T98" s="3066">
        <v>20</v>
      </c>
      <c r="U98" s="3066">
        <v>700</v>
      </c>
      <c r="V98" s="3066" t="s">
        <v>3560</v>
      </c>
      <c r="W98" s="3066" t="s">
        <v>3568</v>
      </c>
      <c r="X98" s="3066">
        <v>2.29</v>
      </c>
      <c r="Y98" s="3066">
        <v>960</v>
      </c>
      <c r="Z98" s="3066" t="s">
        <v>3568</v>
      </c>
      <c r="AA98" s="3066" t="s">
        <v>3560</v>
      </c>
      <c r="AB98" s="3066" t="s">
        <v>3932</v>
      </c>
      <c r="AC98" s="3066" t="s">
        <v>3932</v>
      </c>
      <c r="AD98" s="3066" t="s">
        <v>3932</v>
      </c>
      <c r="AE98" s="3066" t="s">
        <v>3560</v>
      </c>
      <c r="AF98" s="3067">
        <v>700</v>
      </c>
      <c r="AG98" s="3066">
        <v>700</v>
      </c>
      <c r="AH98" s="3066">
        <v>80</v>
      </c>
      <c r="AI98" s="3066">
        <v>80</v>
      </c>
      <c r="AJ98" s="3066">
        <v>99.69</v>
      </c>
      <c r="AK98" s="3066">
        <v>99.69</v>
      </c>
      <c r="AL98" s="3066">
        <v>879.69</v>
      </c>
      <c r="AM98" s="3066">
        <v>879.69</v>
      </c>
      <c r="AN98" s="3066" t="s">
        <v>3560</v>
      </c>
      <c r="AP98" s="3068">
        <f t="shared" si="1"/>
        <v>20</v>
      </c>
    </row>
    <row r="99" spans="2:42" ht="27" customHeight="1">
      <c r="B99" s="3066">
        <v>107</v>
      </c>
      <c r="C99" s="3066" t="s">
        <v>3214</v>
      </c>
      <c r="D99" s="3066" t="s">
        <v>3915</v>
      </c>
      <c r="E99" s="3066" t="s">
        <v>3998</v>
      </c>
      <c r="F99" s="3066" t="s">
        <v>3917</v>
      </c>
      <c r="G99" s="3066" t="s">
        <v>3560</v>
      </c>
      <c r="H99" s="3066" t="s">
        <v>3560</v>
      </c>
      <c r="I99" s="3066" t="s">
        <v>3988</v>
      </c>
      <c r="J99" s="3066" t="s">
        <v>3989</v>
      </c>
      <c r="K99" s="3066" t="s">
        <v>3560</v>
      </c>
      <c r="L99" s="3066" t="s">
        <v>3990</v>
      </c>
      <c r="M99" s="3066" t="s">
        <v>3999</v>
      </c>
      <c r="N99" s="3066">
        <v>35</v>
      </c>
      <c r="O99" s="3066" t="s">
        <v>3992</v>
      </c>
      <c r="P99" s="3066" t="s">
        <v>3566</v>
      </c>
      <c r="Q99" s="3066">
        <v>0</v>
      </c>
      <c r="R99" s="3066">
        <v>0</v>
      </c>
      <c r="S99" s="3066" t="s">
        <v>3577</v>
      </c>
      <c r="T99" s="3066">
        <v>21</v>
      </c>
      <c r="U99" s="3066">
        <v>735</v>
      </c>
      <c r="V99" s="3066" t="s">
        <v>3560</v>
      </c>
      <c r="W99" s="3066" t="s">
        <v>3568</v>
      </c>
      <c r="X99" s="3066">
        <v>2</v>
      </c>
      <c r="Y99" s="3066">
        <v>840</v>
      </c>
      <c r="Z99" s="3066" t="s">
        <v>3568</v>
      </c>
      <c r="AA99" s="3066" t="s">
        <v>3560</v>
      </c>
      <c r="AB99" s="3066" t="s">
        <v>3993</v>
      </c>
      <c r="AC99" s="3066" t="s">
        <v>3993</v>
      </c>
      <c r="AD99" s="3066" t="s">
        <v>3993</v>
      </c>
      <c r="AE99" s="3066" t="s">
        <v>3560</v>
      </c>
      <c r="AF99" s="3067">
        <v>1114.3499999999999</v>
      </c>
      <c r="AG99" s="3066">
        <v>0</v>
      </c>
      <c r="AH99" s="3066">
        <v>106.13</v>
      </c>
      <c r="AI99" s="3066">
        <v>0</v>
      </c>
      <c r="AJ99" s="3066">
        <v>93.15</v>
      </c>
      <c r="AK99" s="3066">
        <v>0</v>
      </c>
      <c r="AL99" s="3066">
        <v>1313.63</v>
      </c>
      <c r="AM99" s="3066">
        <v>0</v>
      </c>
      <c r="AN99" s="3066" t="s">
        <v>3560</v>
      </c>
      <c r="AP99" s="3068">
        <f t="shared" si="1"/>
        <v>31.838571428571427</v>
      </c>
    </row>
    <row r="100" spans="2:42" ht="27" customHeight="1">
      <c r="B100" s="3066">
        <v>108</v>
      </c>
      <c r="C100" s="3066" t="s">
        <v>3214</v>
      </c>
      <c r="D100" s="3066" t="s">
        <v>3915</v>
      </c>
      <c r="E100" s="3066" t="s">
        <v>4000</v>
      </c>
      <c r="F100" s="3066" t="s">
        <v>3917</v>
      </c>
      <c r="G100" s="3066" t="s">
        <v>3560</v>
      </c>
      <c r="H100" s="3066" t="s">
        <v>3560</v>
      </c>
      <c r="I100" s="3066" t="s">
        <v>3988</v>
      </c>
      <c r="J100" s="3066" t="s">
        <v>3989</v>
      </c>
      <c r="K100" s="3066" t="s">
        <v>3560</v>
      </c>
      <c r="L100" s="3066" t="s">
        <v>3990</v>
      </c>
      <c r="M100" s="3066" t="s">
        <v>4001</v>
      </c>
      <c r="N100" s="3066">
        <v>35</v>
      </c>
      <c r="O100" s="3066" t="s">
        <v>3992</v>
      </c>
      <c r="P100" s="3066" t="s">
        <v>3566</v>
      </c>
      <c r="Q100" s="3066">
        <v>0</v>
      </c>
      <c r="R100" s="3066">
        <v>0</v>
      </c>
      <c r="S100" s="3066" t="s">
        <v>3577</v>
      </c>
      <c r="T100" s="3066">
        <v>21</v>
      </c>
      <c r="U100" s="3066">
        <v>735</v>
      </c>
      <c r="V100" s="3066" t="s">
        <v>3560</v>
      </c>
      <c r="W100" s="3066" t="s">
        <v>3568</v>
      </c>
      <c r="X100" s="3066">
        <v>2</v>
      </c>
      <c r="Y100" s="3066">
        <v>840</v>
      </c>
      <c r="Z100" s="3066" t="s">
        <v>3568</v>
      </c>
      <c r="AA100" s="3066" t="s">
        <v>3560</v>
      </c>
      <c r="AB100" s="3066" t="s">
        <v>3993</v>
      </c>
      <c r="AC100" s="3066" t="s">
        <v>3993</v>
      </c>
      <c r="AD100" s="3066" t="s">
        <v>3993</v>
      </c>
      <c r="AE100" s="3066" t="s">
        <v>3560</v>
      </c>
      <c r="AF100" s="3067">
        <v>1114.3499999999999</v>
      </c>
      <c r="AG100" s="3066">
        <v>0</v>
      </c>
      <c r="AH100" s="3066">
        <v>106.13</v>
      </c>
      <c r="AI100" s="3066">
        <v>0</v>
      </c>
      <c r="AJ100" s="3066">
        <v>83.73</v>
      </c>
      <c r="AK100" s="3066">
        <v>0</v>
      </c>
      <c r="AL100" s="3066">
        <v>1304.21</v>
      </c>
      <c r="AM100" s="3066">
        <v>0</v>
      </c>
      <c r="AN100" s="3066" t="s">
        <v>3560</v>
      </c>
      <c r="AP100" s="3068">
        <f t="shared" si="1"/>
        <v>31.838571428571427</v>
      </c>
    </row>
    <row r="101" spans="2:42" ht="27" customHeight="1">
      <c r="B101" s="3066">
        <v>109</v>
      </c>
      <c r="C101" s="3066" t="s">
        <v>4002</v>
      </c>
      <c r="D101" s="3066" t="s">
        <v>4003</v>
      </c>
      <c r="E101" s="3066" t="s">
        <v>4004</v>
      </c>
      <c r="F101" s="3066" t="s">
        <v>3917</v>
      </c>
      <c r="G101" s="3066" t="s">
        <v>1373</v>
      </c>
      <c r="H101" s="3066" t="s">
        <v>3560</v>
      </c>
      <c r="I101" s="3066" t="s">
        <v>4005</v>
      </c>
      <c r="J101" s="3066" t="s">
        <v>4005</v>
      </c>
      <c r="K101" s="3066" t="s">
        <v>3560</v>
      </c>
      <c r="L101" s="3066" t="s">
        <v>4006</v>
      </c>
      <c r="M101" s="3066" t="s">
        <v>4007</v>
      </c>
      <c r="N101" s="3066">
        <v>7</v>
      </c>
      <c r="O101" s="3066" t="s">
        <v>4008</v>
      </c>
      <c r="P101" s="3066" t="s">
        <v>3566</v>
      </c>
      <c r="Q101" s="3066">
        <v>1</v>
      </c>
      <c r="R101" s="3066">
        <v>822</v>
      </c>
      <c r="S101" s="3066" t="s">
        <v>3567</v>
      </c>
      <c r="T101" s="3066">
        <v>20</v>
      </c>
      <c r="U101" s="3066">
        <v>240</v>
      </c>
      <c r="V101" s="3066" t="s">
        <v>3560</v>
      </c>
      <c r="W101" s="3066" t="s">
        <v>3568</v>
      </c>
      <c r="X101" s="3066">
        <v>2.83</v>
      </c>
      <c r="Y101" s="3066">
        <v>408</v>
      </c>
      <c r="Z101" s="3066" t="s">
        <v>3568</v>
      </c>
      <c r="AA101" s="3066" t="s">
        <v>3560</v>
      </c>
      <c r="AB101" s="3066" t="s">
        <v>3692</v>
      </c>
      <c r="AC101" s="3066" t="s">
        <v>3692</v>
      </c>
      <c r="AD101" s="3066" t="s">
        <v>3692</v>
      </c>
      <c r="AE101" s="3066" t="s">
        <v>3560</v>
      </c>
      <c r="AF101" s="3067">
        <v>140</v>
      </c>
      <c r="AG101" s="3066">
        <v>0</v>
      </c>
      <c r="AH101" s="3066">
        <v>24</v>
      </c>
      <c r="AI101" s="3066">
        <v>0</v>
      </c>
      <c r="AJ101" s="3066">
        <v>0</v>
      </c>
      <c r="AK101" s="3066">
        <v>0</v>
      </c>
      <c r="AL101" s="3066">
        <v>164</v>
      </c>
      <c r="AM101" s="3066">
        <v>0</v>
      </c>
      <c r="AN101" s="3066" t="s">
        <v>3560</v>
      </c>
      <c r="AP101" s="3068">
        <f t="shared" si="1"/>
        <v>20</v>
      </c>
    </row>
    <row r="102" spans="2:42" ht="27" customHeight="1">
      <c r="B102" s="3066">
        <v>110</v>
      </c>
      <c r="C102" s="3066" t="s">
        <v>4002</v>
      </c>
      <c r="D102" s="3066" t="s">
        <v>4003</v>
      </c>
      <c r="E102" s="3066" t="s">
        <v>4009</v>
      </c>
      <c r="F102" s="3066" t="s">
        <v>3917</v>
      </c>
      <c r="G102" s="3066" t="s">
        <v>3560</v>
      </c>
      <c r="H102" s="3066" t="s">
        <v>3560</v>
      </c>
      <c r="I102" s="3066" t="s">
        <v>3560</v>
      </c>
      <c r="J102" s="3066" t="s">
        <v>3560</v>
      </c>
      <c r="K102" s="3066" t="s">
        <v>3560</v>
      </c>
      <c r="L102" s="3066" t="s">
        <v>3560</v>
      </c>
      <c r="M102" s="3066" t="s">
        <v>4010</v>
      </c>
      <c r="N102" s="3066">
        <v>0</v>
      </c>
      <c r="O102" s="3066" t="s">
        <v>3560</v>
      </c>
      <c r="P102" s="3066" t="s">
        <v>3560</v>
      </c>
      <c r="Q102" s="3066">
        <v>0</v>
      </c>
      <c r="R102" s="3066">
        <v>0</v>
      </c>
      <c r="S102" s="3066" t="s">
        <v>3577</v>
      </c>
      <c r="T102" s="3066">
        <v>0</v>
      </c>
      <c r="U102" s="3066">
        <v>0</v>
      </c>
      <c r="V102" s="3066" t="s">
        <v>3560</v>
      </c>
      <c r="W102" s="3066" t="s">
        <v>3568</v>
      </c>
      <c r="X102" s="3066">
        <v>0</v>
      </c>
      <c r="Y102" s="3066">
        <v>0</v>
      </c>
      <c r="Z102" s="3066" t="s">
        <v>3568</v>
      </c>
      <c r="AA102" s="3066" t="s">
        <v>3560</v>
      </c>
      <c r="AB102" s="3066" t="s">
        <v>3560</v>
      </c>
      <c r="AC102" s="3066" t="s">
        <v>3560</v>
      </c>
      <c r="AD102" s="3066" t="s">
        <v>3560</v>
      </c>
      <c r="AE102" s="3066" t="s">
        <v>3560</v>
      </c>
      <c r="AF102" s="3067">
        <v>0</v>
      </c>
      <c r="AG102" s="3066">
        <v>0</v>
      </c>
      <c r="AH102" s="3066">
        <v>0</v>
      </c>
      <c r="AI102" s="3066">
        <v>0</v>
      </c>
      <c r="AJ102" s="3066">
        <v>0</v>
      </c>
      <c r="AK102" s="3066">
        <v>0</v>
      </c>
      <c r="AL102" s="3066">
        <v>0</v>
      </c>
      <c r="AM102" s="3066">
        <v>0</v>
      </c>
      <c r="AN102" s="3066" t="s">
        <v>3560</v>
      </c>
      <c r="AP102" s="3068" t="e">
        <f t="shared" si="1"/>
        <v>#DIV/0!</v>
      </c>
    </row>
    <row r="103" spans="2:42" ht="27" customHeight="1">
      <c r="B103" s="3066">
        <v>111</v>
      </c>
      <c r="C103" s="3066" t="s">
        <v>4002</v>
      </c>
      <c r="D103" s="3066" t="s">
        <v>4003</v>
      </c>
      <c r="E103" s="3066" t="s">
        <v>4011</v>
      </c>
      <c r="F103" s="3066" t="s">
        <v>3917</v>
      </c>
      <c r="G103" s="3066" t="s">
        <v>3560</v>
      </c>
      <c r="H103" s="3066" t="s">
        <v>3560</v>
      </c>
      <c r="I103" s="3066" t="s">
        <v>3560</v>
      </c>
      <c r="J103" s="3066" t="s">
        <v>3560</v>
      </c>
      <c r="K103" s="3066" t="s">
        <v>3560</v>
      </c>
      <c r="L103" s="3066" t="s">
        <v>3560</v>
      </c>
      <c r="M103" s="3066" t="s">
        <v>4012</v>
      </c>
      <c r="N103" s="3066">
        <v>0</v>
      </c>
      <c r="O103" s="3066" t="s">
        <v>3560</v>
      </c>
      <c r="P103" s="3066" t="s">
        <v>3560</v>
      </c>
      <c r="Q103" s="3066">
        <v>0</v>
      </c>
      <c r="R103" s="3066">
        <v>0</v>
      </c>
      <c r="S103" s="3066" t="s">
        <v>3577</v>
      </c>
      <c r="T103" s="3066">
        <v>0</v>
      </c>
      <c r="U103" s="3066">
        <v>0</v>
      </c>
      <c r="V103" s="3066" t="s">
        <v>3560</v>
      </c>
      <c r="W103" s="3066" t="s">
        <v>3568</v>
      </c>
      <c r="X103" s="3066">
        <v>0</v>
      </c>
      <c r="Y103" s="3066">
        <v>0</v>
      </c>
      <c r="Z103" s="3066" t="s">
        <v>3568</v>
      </c>
      <c r="AA103" s="3066" t="s">
        <v>3560</v>
      </c>
      <c r="AB103" s="3066" t="s">
        <v>3560</v>
      </c>
      <c r="AC103" s="3066" t="s">
        <v>3560</v>
      </c>
      <c r="AD103" s="3066" t="s">
        <v>3560</v>
      </c>
      <c r="AE103" s="3066" t="s">
        <v>3560</v>
      </c>
      <c r="AF103" s="3067">
        <v>0</v>
      </c>
      <c r="AG103" s="3066">
        <v>0</v>
      </c>
      <c r="AH103" s="3066">
        <v>0</v>
      </c>
      <c r="AI103" s="3066">
        <v>0</v>
      </c>
      <c r="AJ103" s="3066">
        <v>0</v>
      </c>
      <c r="AK103" s="3066">
        <v>0</v>
      </c>
      <c r="AL103" s="3066">
        <v>0</v>
      </c>
      <c r="AM103" s="3066">
        <v>0</v>
      </c>
      <c r="AN103" s="3066" t="s">
        <v>3560</v>
      </c>
      <c r="AP103" s="3068" t="e">
        <f t="shared" si="1"/>
        <v>#DIV/0!</v>
      </c>
    </row>
    <row r="104" spans="2:42" ht="27" customHeight="1">
      <c r="B104" s="3066">
        <v>112</v>
      </c>
      <c r="C104" s="3066" t="s">
        <v>4002</v>
      </c>
      <c r="D104" s="3066" t="s">
        <v>4003</v>
      </c>
      <c r="E104" s="3066" t="s">
        <v>4013</v>
      </c>
      <c r="F104" s="3066" t="s">
        <v>3917</v>
      </c>
      <c r="G104" s="3066" t="s">
        <v>3560</v>
      </c>
      <c r="H104" s="3066" t="s">
        <v>3560</v>
      </c>
      <c r="I104" s="3066" t="s">
        <v>3560</v>
      </c>
      <c r="J104" s="3066" t="s">
        <v>3560</v>
      </c>
      <c r="K104" s="3066" t="s">
        <v>3560</v>
      </c>
      <c r="L104" s="3066" t="s">
        <v>3560</v>
      </c>
      <c r="M104" s="3066" t="s">
        <v>4014</v>
      </c>
      <c r="N104" s="3066">
        <v>0</v>
      </c>
      <c r="O104" s="3066" t="s">
        <v>3560</v>
      </c>
      <c r="P104" s="3066" t="s">
        <v>3560</v>
      </c>
      <c r="Q104" s="3066">
        <v>0</v>
      </c>
      <c r="R104" s="3066">
        <v>0</v>
      </c>
      <c r="S104" s="3066" t="s">
        <v>3577</v>
      </c>
      <c r="T104" s="3066">
        <v>0</v>
      </c>
      <c r="U104" s="3066">
        <v>0</v>
      </c>
      <c r="V104" s="3066" t="s">
        <v>3560</v>
      </c>
      <c r="W104" s="3066" t="s">
        <v>3568</v>
      </c>
      <c r="X104" s="3066">
        <v>0</v>
      </c>
      <c r="Y104" s="3066">
        <v>0</v>
      </c>
      <c r="Z104" s="3066" t="s">
        <v>3568</v>
      </c>
      <c r="AA104" s="3066" t="s">
        <v>3560</v>
      </c>
      <c r="AB104" s="3066" t="s">
        <v>3560</v>
      </c>
      <c r="AC104" s="3066" t="s">
        <v>3560</v>
      </c>
      <c r="AD104" s="3066" t="s">
        <v>3560</v>
      </c>
      <c r="AE104" s="3066" t="s">
        <v>3560</v>
      </c>
      <c r="AF104" s="3067">
        <v>0</v>
      </c>
      <c r="AG104" s="3066">
        <v>0</v>
      </c>
      <c r="AH104" s="3066">
        <v>0</v>
      </c>
      <c r="AI104" s="3066">
        <v>0</v>
      </c>
      <c r="AJ104" s="3066">
        <v>0</v>
      </c>
      <c r="AK104" s="3066">
        <v>0</v>
      </c>
      <c r="AL104" s="3066">
        <v>0</v>
      </c>
      <c r="AM104" s="3066">
        <v>0</v>
      </c>
      <c r="AN104" s="3066" t="s">
        <v>3560</v>
      </c>
      <c r="AP104" s="3068" t="e">
        <f t="shared" si="1"/>
        <v>#DIV/0!</v>
      </c>
    </row>
    <row r="105" spans="2:42" ht="27" customHeight="1">
      <c r="B105" s="3066">
        <v>113</v>
      </c>
      <c r="C105" s="3066" t="s">
        <v>4002</v>
      </c>
      <c r="D105" s="3066" t="s">
        <v>4003</v>
      </c>
      <c r="E105" s="3066" t="s">
        <v>4015</v>
      </c>
      <c r="F105" s="3066" t="s">
        <v>3917</v>
      </c>
      <c r="G105" s="3066" t="s">
        <v>3560</v>
      </c>
      <c r="H105" s="3066" t="s">
        <v>3560</v>
      </c>
      <c r="I105" s="3066" t="s">
        <v>3560</v>
      </c>
      <c r="J105" s="3066" t="s">
        <v>3560</v>
      </c>
      <c r="K105" s="3066" t="s">
        <v>3560</v>
      </c>
      <c r="L105" s="3066" t="s">
        <v>3560</v>
      </c>
      <c r="M105" s="3066" t="s">
        <v>4016</v>
      </c>
      <c r="N105" s="3066">
        <v>0</v>
      </c>
      <c r="O105" s="3066" t="s">
        <v>3560</v>
      </c>
      <c r="P105" s="3066" t="s">
        <v>3560</v>
      </c>
      <c r="Q105" s="3066">
        <v>0</v>
      </c>
      <c r="R105" s="3066">
        <v>0</v>
      </c>
      <c r="S105" s="3066" t="s">
        <v>3577</v>
      </c>
      <c r="T105" s="3066">
        <v>0</v>
      </c>
      <c r="U105" s="3066">
        <v>0</v>
      </c>
      <c r="V105" s="3066" t="s">
        <v>3560</v>
      </c>
      <c r="W105" s="3066" t="s">
        <v>3568</v>
      </c>
      <c r="X105" s="3066">
        <v>0</v>
      </c>
      <c r="Y105" s="3066">
        <v>0</v>
      </c>
      <c r="Z105" s="3066" t="s">
        <v>3568</v>
      </c>
      <c r="AA105" s="3066" t="s">
        <v>3560</v>
      </c>
      <c r="AB105" s="3066" t="s">
        <v>3560</v>
      </c>
      <c r="AC105" s="3066" t="s">
        <v>3560</v>
      </c>
      <c r="AD105" s="3066" t="s">
        <v>3560</v>
      </c>
      <c r="AE105" s="3066" t="s">
        <v>3560</v>
      </c>
      <c r="AF105" s="3067">
        <v>0</v>
      </c>
      <c r="AG105" s="3066">
        <v>0</v>
      </c>
      <c r="AH105" s="3066">
        <v>0</v>
      </c>
      <c r="AI105" s="3066">
        <v>0</v>
      </c>
      <c r="AJ105" s="3066">
        <v>0</v>
      </c>
      <c r="AK105" s="3066">
        <v>0</v>
      </c>
      <c r="AL105" s="3066">
        <v>0</v>
      </c>
      <c r="AM105" s="3066">
        <v>0</v>
      </c>
      <c r="AN105" s="3066" t="s">
        <v>3560</v>
      </c>
      <c r="AP105" s="3068" t="e">
        <f t="shared" si="1"/>
        <v>#DIV/0!</v>
      </c>
    </row>
    <row r="106" spans="2:42" ht="27" customHeight="1">
      <c r="B106" s="3066">
        <v>114</v>
      </c>
      <c r="C106" s="3066" t="s">
        <v>4002</v>
      </c>
      <c r="D106" s="3066" t="s">
        <v>4003</v>
      </c>
      <c r="E106" s="3066" t="s">
        <v>4017</v>
      </c>
      <c r="F106" s="3066" t="s">
        <v>3917</v>
      </c>
      <c r="G106" s="3066" t="s">
        <v>3560</v>
      </c>
      <c r="H106" s="3066" t="s">
        <v>3560</v>
      </c>
      <c r="I106" s="3066" t="s">
        <v>3560</v>
      </c>
      <c r="J106" s="3066" t="s">
        <v>3560</v>
      </c>
      <c r="K106" s="3066" t="s">
        <v>3560</v>
      </c>
      <c r="L106" s="3066" t="s">
        <v>3560</v>
      </c>
      <c r="M106" s="3066" t="s">
        <v>4018</v>
      </c>
      <c r="N106" s="3066">
        <v>0</v>
      </c>
      <c r="O106" s="3066" t="s">
        <v>3560</v>
      </c>
      <c r="P106" s="3066" t="s">
        <v>3560</v>
      </c>
      <c r="Q106" s="3066">
        <v>0</v>
      </c>
      <c r="R106" s="3066">
        <v>0</v>
      </c>
      <c r="S106" s="3066" t="s">
        <v>3577</v>
      </c>
      <c r="T106" s="3066">
        <v>0</v>
      </c>
      <c r="U106" s="3066">
        <v>0</v>
      </c>
      <c r="V106" s="3066" t="s">
        <v>3560</v>
      </c>
      <c r="W106" s="3066" t="s">
        <v>3568</v>
      </c>
      <c r="X106" s="3066">
        <v>0</v>
      </c>
      <c r="Y106" s="3066">
        <v>0</v>
      </c>
      <c r="Z106" s="3066" t="s">
        <v>3568</v>
      </c>
      <c r="AA106" s="3066" t="s">
        <v>3560</v>
      </c>
      <c r="AB106" s="3066" t="s">
        <v>3560</v>
      </c>
      <c r="AC106" s="3066" t="s">
        <v>3560</v>
      </c>
      <c r="AD106" s="3066" t="s">
        <v>3560</v>
      </c>
      <c r="AE106" s="3066" t="s">
        <v>3560</v>
      </c>
      <c r="AF106" s="3067">
        <v>0</v>
      </c>
      <c r="AG106" s="3066">
        <v>0</v>
      </c>
      <c r="AH106" s="3066">
        <v>0</v>
      </c>
      <c r="AI106" s="3066">
        <v>0</v>
      </c>
      <c r="AJ106" s="3066">
        <v>0</v>
      </c>
      <c r="AK106" s="3066">
        <v>0</v>
      </c>
      <c r="AL106" s="3066">
        <v>0</v>
      </c>
      <c r="AM106" s="3066">
        <v>0</v>
      </c>
      <c r="AN106" s="3066" t="s">
        <v>3560</v>
      </c>
      <c r="AP106" s="3068" t="e">
        <f t="shared" si="1"/>
        <v>#DIV/0!</v>
      </c>
    </row>
    <row r="107" spans="2:42" ht="27" customHeight="1">
      <c r="B107" s="3066">
        <v>115</v>
      </c>
      <c r="C107" s="3066" t="s">
        <v>4002</v>
      </c>
      <c r="D107" s="3066" t="s">
        <v>4019</v>
      </c>
      <c r="E107" s="3066" t="s">
        <v>4020</v>
      </c>
      <c r="F107" s="3066" t="s">
        <v>3917</v>
      </c>
      <c r="G107" s="3066" t="s">
        <v>1373</v>
      </c>
      <c r="H107" s="3066" t="s">
        <v>3560</v>
      </c>
      <c r="I107" s="3066" t="s">
        <v>4021</v>
      </c>
      <c r="J107" s="3066" t="s">
        <v>4021</v>
      </c>
      <c r="K107" s="3066" t="s">
        <v>3560</v>
      </c>
      <c r="L107" s="3066" t="s">
        <v>4022</v>
      </c>
      <c r="M107" s="3066" t="s">
        <v>4023</v>
      </c>
      <c r="N107" s="3066">
        <v>37</v>
      </c>
      <c r="O107" s="3066" t="s">
        <v>3619</v>
      </c>
      <c r="P107" s="3066" t="s">
        <v>3566</v>
      </c>
      <c r="Q107" s="3066">
        <v>1</v>
      </c>
      <c r="R107" s="3066">
        <v>16452</v>
      </c>
      <c r="S107" s="3066" t="s">
        <v>3567</v>
      </c>
      <c r="T107" s="3066">
        <v>50</v>
      </c>
      <c r="U107" s="3066">
        <v>1850</v>
      </c>
      <c r="V107" s="3066" t="s">
        <v>3560</v>
      </c>
      <c r="W107" s="3066" t="s">
        <v>3568</v>
      </c>
      <c r="X107" s="3066">
        <v>2.7</v>
      </c>
      <c r="Y107" s="3066">
        <v>1200</v>
      </c>
      <c r="Z107" s="3066" t="s">
        <v>3568</v>
      </c>
      <c r="AA107" s="3066" t="s">
        <v>3560</v>
      </c>
      <c r="AB107" s="3066" t="s">
        <v>3584</v>
      </c>
      <c r="AC107" s="3066" t="s">
        <v>3584</v>
      </c>
      <c r="AD107" s="3066" t="s">
        <v>3584</v>
      </c>
      <c r="AE107" s="3066" t="s">
        <v>3560</v>
      </c>
      <c r="AF107" s="3067">
        <v>1850</v>
      </c>
      <c r="AG107" s="3066">
        <v>1850</v>
      </c>
      <c r="AH107" s="3066">
        <v>100</v>
      </c>
      <c r="AI107" s="3066">
        <v>100</v>
      </c>
      <c r="AJ107" s="3066">
        <v>255.79</v>
      </c>
      <c r="AK107" s="3066">
        <v>255.79</v>
      </c>
      <c r="AL107" s="3066">
        <v>2205.79</v>
      </c>
      <c r="AM107" s="3066">
        <v>2205.79</v>
      </c>
      <c r="AN107" s="3066" t="s">
        <v>3560</v>
      </c>
      <c r="AP107" s="3068">
        <f t="shared" si="1"/>
        <v>50</v>
      </c>
    </row>
    <row r="108" spans="2:42" ht="27" customHeight="1">
      <c r="B108" s="3066">
        <v>116</v>
      </c>
      <c r="C108" s="3066" t="s">
        <v>4002</v>
      </c>
      <c r="D108" s="3066" t="s">
        <v>4019</v>
      </c>
      <c r="E108" s="3066" t="s">
        <v>4024</v>
      </c>
      <c r="F108" s="3066" t="s">
        <v>3917</v>
      </c>
      <c r="G108" s="3066" t="s">
        <v>1373</v>
      </c>
      <c r="H108" s="3066" t="s">
        <v>3560</v>
      </c>
      <c r="I108" s="3066" t="s">
        <v>4025</v>
      </c>
      <c r="J108" s="3066" t="s">
        <v>4026</v>
      </c>
      <c r="K108" s="3066" t="s">
        <v>3560</v>
      </c>
      <c r="L108" s="3066" t="s">
        <v>4027</v>
      </c>
      <c r="M108" s="3066" t="s">
        <v>4028</v>
      </c>
      <c r="N108" s="3066">
        <v>37</v>
      </c>
      <c r="O108" s="3066" t="s">
        <v>3583</v>
      </c>
      <c r="P108" s="3066" t="s">
        <v>3566</v>
      </c>
      <c r="Q108" s="3066">
        <v>0</v>
      </c>
      <c r="R108" s="3066">
        <v>12232.6</v>
      </c>
      <c r="S108" s="3066" t="s">
        <v>3567</v>
      </c>
      <c r="T108" s="3066">
        <v>50</v>
      </c>
      <c r="U108" s="3066">
        <v>1850</v>
      </c>
      <c r="V108" s="3066" t="s">
        <v>3560</v>
      </c>
      <c r="W108" s="3066" t="s">
        <v>3568</v>
      </c>
      <c r="X108" s="3066">
        <v>2</v>
      </c>
      <c r="Y108" s="3066">
        <v>888</v>
      </c>
      <c r="Z108" s="3066" t="s">
        <v>3568</v>
      </c>
      <c r="AA108" s="3066" t="s">
        <v>3560</v>
      </c>
      <c r="AB108" s="3066" t="s">
        <v>3584</v>
      </c>
      <c r="AC108" s="3066" t="s">
        <v>3584</v>
      </c>
      <c r="AD108" s="3066" t="s">
        <v>3584</v>
      </c>
      <c r="AE108" s="3066" t="s">
        <v>3560</v>
      </c>
      <c r="AF108" s="3067">
        <v>1850</v>
      </c>
      <c r="AG108" s="3066">
        <v>1850</v>
      </c>
      <c r="AH108" s="3066">
        <v>74</v>
      </c>
      <c r="AI108" s="3066">
        <v>74</v>
      </c>
      <c r="AJ108" s="3066">
        <v>0</v>
      </c>
      <c r="AK108" s="3066">
        <v>0</v>
      </c>
      <c r="AL108" s="3066">
        <v>1924</v>
      </c>
      <c r="AM108" s="3066">
        <v>1924</v>
      </c>
      <c r="AN108" s="3066" t="s">
        <v>3560</v>
      </c>
      <c r="AP108" s="3068">
        <f t="shared" si="1"/>
        <v>50</v>
      </c>
    </row>
    <row r="109" spans="2:42" ht="27" customHeight="1">
      <c r="B109" s="3066">
        <v>117</v>
      </c>
      <c r="C109" s="3066" t="s">
        <v>4002</v>
      </c>
      <c r="D109" s="3066" t="s">
        <v>4019</v>
      </c>
      <c r="E109" s="3066" t="s">
        <v>4029</v>
      </c>
      <c r="F109" s="3066" t="s">
        <v>3917</v>
      </c>
      <c r="G109" s="3066" t="s">
        <v>1373</v>
      </c>
      <c r="H109" s="3066" t="s">
        <v>3560</v>
      </c>
      <c r="I109" s="3066" t="s">
        <v>4025</v>
      </c>
      <c r="J109" s="3066" t="s">
        <v>4026</v>
      </c>
      <c r="K109" s="3066" t="s">
        <v>3560</v>
      </c>
      <c r="L109" s="3066" t="s">
        <v>4027</v>
      </c>
      <c r="M109" s="3066" t="s">
        <v>4030</v>
      </c>
      <c r="N109" s="3066">
        <v>37</v>
      </c>
      <c r="O109" s="3066" t="s">
        <v>3583</v>
      </c>
      <c r="P109" s="3066" t="s">
        <v>3566</v>
      </c>
      <c r="Q109" s="3066">
        <v>0</v>
      </c>
      <c r="R109" s="3066">
        <v>0</v>
      </c>
      <c r="S109" s="3066" t="s">
        <v>3577</v>
      </c>
      <c r="T109" s="3066">
        <v>50</v>
      </c>
      <c r="U109" s="3066">
        <v>1850</v>
      </c>
      <c r="V109" s="3066" t="s">
        <v>3560</v>
      </c>
      <c r="W109" s="3066" t="s">
        <v>3568</v>
      </c>
      <c r="X109" s="3066">
        <v>2</v>
      </c>
      <c r="Y109" s="3066">
        <v>888</v>
      </c>
      <c r="Z109" s="3066" t="s">
        <v>3568</v>
      </c>
      <c r="AA109" s="3066" t="s">
        <v>3560</v>
      </c>
      <c r="AB109" s="3066" t="s">
        <v>3584</v>
      </c>
      <c r="AC109" s="3066" t="s">
        <v>3584</v>
      </c>
      <c r="AD109" s="3066" t="s">
        <v>3584</v>
      </c>
      <c r="AE109" s="3066" t="s">
        <v>3560</v>
      </c>
      <c r="AF109" s="3067">
        <v>1850</v>
      </c>
      <c r="AG109" s="3066">
        <v>1850</v>
      </c>
      <c r="AH109" s="3066">
        <v>74</v>
      </c>
      <c r="AI109" s="3066">
        <v>74</v>
      </c>
      <c r="AJ109" s="3066">
        <v>335.5</v>
      </c>
      <c r="AK109" s="3066">
        <v>335.5</v>
      </c>
      <c r="AL109" s="3066">
        <v>2259.5</v>
      </c>
      <c r="AM109" s="3066">
        <v>2259.5</v>
      </c>
      <c r="AN109" s="3066" t="s">
        <v>3560</v>
      </c>
      <c r="AP109" s="3068">
        <f t="shared" si="1"/>
        <v>50</v>
      </c>
    </row>
    <row r="110" spans="2:42" ht="27" customHeight="1">
      <c r="B110" s="3066">
        <v>118</v>
      </c>
      <c r="C110" s="3066" t="s">
        <v>4002</v>
      </c>
      <c r="D110" s="3066" t="s">
        <v>4019</v>
      </c>
      <c r="E110" s="3066" t="s">
        <v>4031</v>
      </c>
      <c r="F110" s="3066" t="s">
        <v>3917</v>
      </c>
      <c r="G110" s="3066" t="s">
        <v>1373</v>
      </c>
      <c r="H110" s="3066" t="s">
        <v>3560</v>
      </c>
      <c r="I110" s="3066" t="s">
        <v>4025</v>
      </c>
      <c r="J110" s="3066" t="s">
        <v>4026</v>
      </c>
      <c r="K110" s="3066" t="s">
        <v>3560</v>
      </c>
      <c r="L110" s="3066" t="s">
        <v>4027</v>
      </c>
      <c r="M110" s="3066" t="s">
        <v>4032</v>
      </c>
      <c r="N110" s="3066">
        <v>37</v>
      </c>
      <c r="O110" s="3066" t="s">
        <v>3583</v>
      </c>
      <c r="P110" s="3066" t="s">
        <v>3566</v>
      </c>
      <c r="Q110" s="3066">
        <v>0</v>
      </c>
      <c r="R110" s="3066">
        <v>0</v>
      </c>
      <c r="S110" s="3066" t="s">
        <v>3577</v>
      </c>
      <c r="T110" s="3066">
        <v>50</v>
      </c>
      <c r="U110" s="3066">
        <v>1850</v>
      </c>
      <c r="V110" s="3066" t="s">
        <v>3560</v>
      </c>
      <c r="W110" s="3066" t="s">
        <v>3568</v>
      </c>
      <c r="X110" s="3066">
        <v>2</v>
      </c>
      <c r="Y110" s="3066">
        <v>888</v>
      </c>
      <c r="Z110" s="3066" t="s">
        <v>3568</v>
      </c>
      <c r="AA110" s="3066" t="s">
        <v>3560</v>
      </c>
      <c r="AB110" s="3066" t="s">
        <v>3584</v>
      </c>
      <c r="AC110" s="3066" t="s">
        <v>3584</v>
      </c>
      <c r="AD110" s="3066" t="s">
        <v>3584</v>
      </c>
      <c r="AE110" s="3066" t="s">
        <v>3560</v>
      </c>
      <c r="AF110" s="3067">
        <v>1850</v>
      </c>
      <c r="AG110" s="3066">
        <v>1850</v>
      </c>
      <c r="AH110" s="3066">
        <v>74</v>
      </c>
      <c r="AI110" s="3066">
        <v>74</v>
      </c>
      <c r="AJ110" s="3066">
        <v>0</v>
      </c>
      <c r="AK110" s="3066">
        <v>0</v>
      </c>
      <c r="AL110" s="3066">
        <v>1924</v>
      </c>
      <c r="AM110" s="3066">
        <v>1924</v>
      </c>
      <c r="AN110" s="3066" t="s">
        <v>3560</v>
      </c>
      <c r="AP110" s="3068">
        <f t="shared" si="1"/>
        <v>50</v>
      </c>
    </row>
    <row r="111" spans="2:42" ht="27" customHeight="1">
      <c r="B111" s="3066">
        <v>119</v>
      </c>
      <c r="C111" s="3066" t="s">
        <v>4002</v>
      </c>
      <c r="D111" s="3066" t="s">
        <v>4019</v>
      </c>
      <c r="E111" s="3066" t="s">
        <v>4033</v>
      </c>
      <c r="F111" s="3066" t="s">
        <v>3917</v>
      </c>
      <c r="G111" s="3066" t="s">
        <v>3560</v>
      </c>
      <c r="H111" s="3066" t="s">
        <v>3560</v>
      </c>
      <c r="I111" s="3066" t="s">
        <v>4034</v>
      </c>
      <c r="J111" s="3066" t="s">
        <v>4035</v>
      </c>
      <c r="K111" s="3066" t="s">
        <v>3560</v>
      </c>
      <c r="L111" s="3066" t="s">
        <v>4036</v>
      </c>
      <c r="M111" s="3066" t="s">
        <v>4037</v>
      </c>
      <c r="N111" s="3066">
        <v>37</v>
      </c>
      <c r="O111" s="3066" t="s">
        <v>3583</v>
      </c>
      <c r="P111" s="3066" t="s">
        <v>3566</v>
      </c>
      <c r="Q111" s="3066">
        <v>0</v>
      </c>
      <c r="R111" s="3066">
        <v>11544</v>
      </c>
      <c r="S111" s="3066" t="s">
        <v>3567</v>
      </c>
      <c r="T111" s="3066">
        <v>50</v>
      </c>
      <c r="U111" s="3066">
        <v>1850</v>
      </c>
      <c r="V111" s="3066" t="s">
        <v>3560</v>
      </c>
      <c r="W111" s="3066" t="s">
        <v>3568</v>
      </c>
      <c r="X111" s="3066">
        <v>2</v>
      </c>
      <c r="Y111" s="3066">
        <v>888</v>
      </c>
      <c r="Z111" s="3066" t="s">
        <v>3568</v>
      </c>
      <c r="AA111" s="3066" t="s">
        <v>3560</v>
      </c>
      <c r="AB111" s="3066" t="s">
        <v>3584</v>
      </c>
      <c r="AC111" s="3066" t="s">
        <v>3584</v>
      </c>
      <c r="AD111" s="3066" t="s">
        <v>3584</v>
      </c>
      <c r="AE111" s="3066" t="s">
        <v>3560</v>
      </c>
      <c r="AF111" s="3067">
        <v>1850</v>
      </c>
      <c r="AG111" s="3066">
        <v>0</v>
      </c>
      <c r="AH111" s="3066">
        <v>74</v>
      </c>
      <c r="AI111" s="3066">
        <v>0</v>
      </c>
      <c r="AJ111" s="3066">
        <v>1269.4100000000001</v>
      </c>
      <c r="AK111" s="3066">
        <v>0</v>
      </c>
      <c r="AL111" s="3066">
        <v>3193.41</v>
      </c>
      <c r="AM111" s="3066">
        <v>0</v>
      </c>
      <c r="AN111" s="3066" t="s">
        <v>3560</v>
      </c>
      <c r="AP111" s="3068">
        <f t="shared" si="1"/>
        <v>50</v>
      </c>
    </row>
    <row r="112" spans="2:42" ht="27" customHeight="1">
      <c r="B112" s="3066">
        <v>120</v>
      </c>
      <c r="C112" s="3066" t="s">
        <v>4002</v>
      </c>
      <c r="D112" s="3066" t="s">
        <v>4019</v>
      </c>
      <c r="E112" s="3066" t="s">
        <v>4038</v>
      </c>
      <c r="F112" s="3066" t="s">
        <v>3917</v>
      </c>
      <c r="G112" s="3066" t="s">
        <v>3560</v>
      </c>
      <c r="H112" s="3066" t="s">
        <v>3560</v>
      </c>
      <c r="I112" s="3066" t="s">
        <v>4034</v>
      </c>
      <c r="J112" s="3066" t="s">
        <v>4035</v>
      </c>
      <c r="K112" s="3066" t="s">
        <v>3560</v>
      </c>
      <c r="L112" s="3066" t="s">
        <v>4036</v>
      </c>
      <c r="M112" s="3066" t="s">
        <v>4039</v>
      </c>
      <c r="N112" s="3066">
        <v>37</v>
      </c>
      <c r="O112" s="3066" t="s">
        <v>3583</v>
      </c>
      <c r="P112" s="3066" t="s">
        <v>3566</v>
      </c>
      <c r="Q112" s="3066">
        <v>0</v>
      </c>
      <c r="R112" s="3066">
        <v>0</v>
      </c>
      <c r="S112" s="3066" t="s">
        <v>3577</v>
      </c>
      <c r="T112" s="3066">
        <v>50</v>
      </c>
      <c r="U112" s="3066">
        <v>1850</v>
      </c>
      <c r="V112" s="3066" t="s">
        <v>3560</v>
      </c>
      <c r="W112" s="3066" t="s">
        <v>3568</v>
      </c>
      <c r="X112" s="3066">
        <v>2</v>
      </c>
      <c r="Y112" s="3066">
        <v>888</v>
      </c>
      <c r="Z112" s="3066" t="s">
        <v>3568</v>
      </c>
      <c r="AA112" s="3066" t="s">
        <v>3560</v>
      </c>
      <c r="AB112" s="3066" t="s">
        <v>3584</v>
      </c>
      <c r="AC112" s="3066" t="s">
        <v>3584</v>
      </c>
      <c r="AD112" s="3066" t="s">
        <v>3584</v>
      </c>
      <c r="AE112" s="3066" t="s">
        <v>3560</v>
      </c>
      <c r="AF112" s="3067">
        <v>1850</v>
      </c>
      <c r="AG112" s="3066">
        <v>0</v>
      </c>
      <c r="AH112" s="3066">
        <v>74</v>
      </c>
      <c r="AI112" s="3066">
        <v>0</v>
      </c>
      <c r="AJ112" s="3066">
        <v>0</v>
      </c>
      <c r="AK112" s="3066">
        <v>0</v>
      </c>
      <c r="AL112" s="3066">
        <v>1924</v>
      </c>
      <c r="AM112" s="3066">
        <v>0</v>
      </c>
      <c r="AN112" s="3066" t="s">
        <v>3560</v>
      </c>
      <c r="AP112" s="3068">
        <f t="shared" si="1"/>
        <v>50</v>
      </c>
    </row>
    <row r="113" spans="2:42" ht="27" customHeight="1">
      <c r="B113" s="3066">
        <v>121</v>
      </c>
      <c r="C113" s="3066" t="s">
        <v>4002</v>
      </c>
      <c r="D113" s="3066" t="s">
        <v>4019</v>
      </c>
      <c r="E113" s="3066" t="s">
        <v>4040</v>
      </c>
      <c r="F113" s="3066" t="s">
        <v>3917</v>
      </c>
      <c r="G113" s="3066" t="s">
        <v>3560</v>
      </c>
      <c r="H113" s="3066" t="s">
        <v>3560</v>
      </c>
      <c r="I113" s="3066" t="s">
        <v>3560</v>
      </c>
      <c r="J113" s="3066" t="s">
        <v>3560</v>
      </c>
      <c r="K113" s="3066" t="s">
        <v>3560</v>
      </c>
      <c r="L113" s="3066" t="s">
        <v>3560</v>
      </c>
      <c r="M113" s="3066" t="s">
        <v>4041</v>
      </c>
      <c r="N113" s="3066">
        <v>0</v>
      </c>
      <c r="O113" s="3066" t="s">
        <v>3560</v>
      </c>
      <c r="P113" s="3066" t="s">
        <v>3560</v>
      </c>
      <c r="Q113" s="3066">
        <v>0</v>
      </c>
      <c r="R113" s="3066">
        <v>0</v>
      </c>
      <c r="S113" s="3066" t="s">
        <v>3577</v>
      </c>
      <c r="T113" s="3066">
        <v>0</v>
      </c>
      <c r="U113" s="3066">
        <v>0</v>
      </c>
      <c r="V113" s="3066" t="s">
        <v>3560</v>
      </c>
      <c r="W113" s="3066" t="s">
        <v>3568</v>
      </c>
      <c r="X113" s="3066">
        <v>0</v>
      </c>
      <c r="Y113" s="3066">
        <v>0</v>
      </c>
      <c r="Z113" s="3066" t="s">
        <v>3568</v>
      </c>
      <c r="AA113" s="3066" t="s">
        <v>3560</v>
      </c>
      <c r="AB113" s="3066" t="s">
        <v>3560</v>
      </c>
      <c r="AC113" s="3066" t="s">
        <v>3560</v>
      </c>
      <c r="AD113" s="3066" t="s">
        <v>3560</v>
      </c>
      <c r="AE113" s="3066" t="s">
        <v>3560</v>
      </c>
      <c r="AF113" s="3067">
        <v>0</v>
      </c>
      <c r="AG113" s="3066">
        <v>0</v>
      </c>
      <c r="AH113" s="3066">
        <v>0</v>
      </c>
      <c r="AI113" s="3066">
        <v>0</v>
      </c>
      <c r="AJ113" s="3066">
        <v>0</v>
      </c>
      <c r="AK113" s="3066">
        <v>0</v>
      </c>
      <c r="AL113" s="3066">
        <v>0</v>
      </c>
      <c r="AM113" s="3066">
        <v>0</v>
      </c>
      <c r="AN113" s="3066" t="s">
        <v>3560</v>
      </c>
      <c r="AP113" s="3068" t="e">
        <f t="shared" si="1"/>
        <v>#DIV/0!</v>
      </c>
    </row>
    <row r="114" spans="2:42" ht="27" customHeight="1">
      <c r="B114" s="3066">
        <v>122</v>
      </c>
      <c r="C114" s="3066" t="s">
        <v>4002</v>
      </c>
      <c r="D114" s="3066" t="s">
        <v>4019</v>
      </c>
      <c r="E114" s="3066" t="s">
        <v>4042</v>
      </c>
      <c r="F114" s="3066" t="s">
        <v>3917</v>
      </c>
      <c r="G114" s="3066" t="s">
        <v>1373</v>
      </c>
      <c r="H114" s="3066" t="s">
        <v>3560</v>
      </c>
      <c r="I114" s="3066" t="s">
        <v>4021</v>
      </c>
      <c r="J114" s="3066" t="s">
        <v>4021</v>
      </c>
      <c r="K114" s="3066" t="s">
        <v>3560</v>
      </c>
      <c r="L114" s="3066" t="s">
        <v>4022</v>
      </c>
      <c r="M114" s="3066" t="s">
        <v>4043</v>
      </c>
      <c r="N114" s="3066">
        <v>37</v>
      </c>
      <c r="O114" s="3066" t="s">
        <v>4044</v>
      </c>
      <c r="P114" s="3066" t="s">
        <v>3566</v>
      </c>
      <c r="Q114" s="3066">
        <v>0</v>
      </c>
      <c r="R114" s="3066">
        <v>20868</v>
      </c>
      <c r="S114" s="3066" t="s">
        <v>3567</v>
      </c>
      <c r="T114" s="3066">
        <v>45</v>
      </c>
      <c r="U114" s="3066">
        <v>1665</v>
      </c>
      <c r="V114" s="3066" t="s">
        <v>3560</v>
      </c>
      <c r="W114" s="3066" t="s">
        <v>3568</v>
      </c>
      <c r="X114" s="3066">
        <v>2</v>
      </c>
      <c r="Y114" s="3066">
        <v>888</v>
      </c>
      <c r="Z114" s="3066" t="s">
        <v>3568</v>
      </c>
      <c r="AA114" s="3066" t="s">
        <v>3560</v>
      </c>
      <c r="AB114" s="3066" t="s">
        <v>3932</v>
      </c>
      <c r="AC114" s="3066" t="s">
        <v>3932</v>
      </c>
      <c r="AD114" s="3066" t="s">
        <v>3932</v>
      </c>
      <c r="AE114" s="3066" t="s">
        <v>3560</v>
      </c>
      <c r="AF114" s="3067">
        <v>1665</v>
      </c>
      <c r="AG114" s="3066">
        <v>1665</v>
      </c>
      <c r="AH114" s="3066">
        <v>74</v>
      </c>
      <c r="AI114" s="3066">
        <v>74</v>
      </c>
      <c r="AJ114" s="3066">
        <v>143.94999999999999</v>
      </c>
      <c r="AK114" s="3066">
        <v>143.94999999999999</v>
      </c>
      <c r="AL114" s="3066">
        <v>1882.95</v>
      </c>
      <c r="AM114" s="3066">
        <v>1882.95</v>
      </c>
      <c r="AN114" s="3066" t="s">
        <v>3560</v>
      </c>
      <c r="AP114" s="3068">
        <f t="shared" si="1"/>
        <v>45</v>
      </c>
    </row>
    <row r="115" spans="2:42" ht="27" customHeight="1">
      <c r="B115" s="3066">
        <v>123</v>
      </c>
      <c r="C115" s="3066" t="s">
        <v>4002</v>
      </c>
      <c r="D115" s="3066" t="s">
        <v>4019</v>
      </c>
      <c r="E115" s="3066" t="s">
        <v>4045</v>
      </c>
      <c r="F115" s="3066" t="s">
        <v>3917</v>
      </c>
      <c r="G115" s="3066" t="s">
        <v>1373</v>
      </c>
      <c r="H115" s="3066" t="s">
        <v>3560</v>
      </c>
      <c r="I115" s="3066" t="s">
        <v>4021</v>
      </c>
      <c r="J115" s="3066" t="s">
        <v>4021</v>
      </c>
      <c r="K115" s="3066" t="s">
        <v>3560</v>
      </c>
      <c r="L115" s="3066" t="s">
        <v>4022</v>
      </c>
      <c r="M115" s="3066" t="s">
        <v>4046</v>
      </c>
      <c r="N115" s="3066">
        <v>37</v>
      </c>
      <c r="O115" s="3066" t="s">
        <v>4044</v>
      </c>
      <c r="P115" s="3066" t="s">
        <v>3566</v>
      </c>
      <c r="Q115" s="3066">
        <v>0</v>
      </c>
      <c r="R115" s="3066">
        <v>0</v>
      </c>
      <c r="S115" s="3066" t="s">
        <v>3577</v>
      </c>
      <c r="T115" s="3066">
        <v>45</v>
      </c>
      <c r="U115" s="3066">
        <v>1665</v>
      </c>
      <c r="V115" s="3066" t="s">
        <v>3560</v>
      </c>
      <c r="W115" s="3066" t="s">
        <v>3568</v>
      </c>
      <c r="X115" s="3066">
        <v>2</v>
      </c>
      <c r="Y115" s="3066">
        <v>888</v>
      </c>
      <c r="Z115" s="3066" t="s">
        <v>3568</v>
      </c>
      <c r="AA115" s="3066" t="s">
        <v>3560</v>
      </c>
      <c r="AB115" s="3066" t="s">
        <v>3932</v>
      </c>
      <c r="AC115" s="3066" t="s">
        <v>3932</v>
      </c>
      <c r="AD115" s="3066" t="s">
        <v>3932</v>
      </c>
      <c r="AE115" s="3066" t="s">
        <v>3560</v>
      </c>
      <c r="AF115" s="3067">
        <v>1665</v>
      </c>
      <c r="AG115" s="3066">
        <v>1665</v>
      </c>
      <c r="AH115" s="3066">
        <v>74</v>
      </c>
      <c r="AI115" s="3066">
        <v>74</v>
      </c>
      <c r="AJ115" s="3066">
        <v>0</v>
      </c>
      <c r="AK115" s="3066">
        <v>0</v>
      </c>
      <c r="AL115" s="3066">
        <v>1739</v>
      </c>
      <c r="AM115" s="3066">
        <v>1739</v>
      </c>
      <c r="AN115" s="3066" t="s">
        <v>3560</v>
      </c>
      <c r="AP115" s="3068">
        <f t="shared" si="1"/>
        <v>45</v>
      </c>
    </row>
    <row r="116" spans="2:42" ht="27" customHeight="1">
      <c r="B116" s="3066">
        <v>124</v>
      </c>
      <c r="C116" s="3066" t="s">
        <v>4002</v>
      </c>
      <c r="D116" s="3066" t="s">
        <v>4019</v>
      </c>
      <c r="E116" s="3066" t="s">
        <v>4047</v>
      </c>
      <c r="F116" s="3066" t="s">
        <v>3917</v>
      </c>
      <c r="G116" s="3066" t="s">
        <v>1373</v>
      </c>
      <c r="H116" s="3066" t="s">
        <v>3560</v>
      </c>
      <c r="I116" s="3066" t="s">
        <v>4021</v>
      </c>
      <c r="J116" s="3066" t="s">
        <v>4021</v>
      </c>
      <c r="K116" s="3066" t="s">
        <v>3560</v>
      </c>
      <c r="L116" s="3066" t="s">
        <v>4022</v>
      </c>
      <c r="M116" s="3066" t="s">
        <v>4048</v>
      </c>
      <c r="N116" s="3066">
        <v>37</v>
      </c>
      <c r="O116" s="3066" t="s">
        <v>4044</v>
      </c>
      <c r="P116" s="3066" t="s">
        <v>3566</v>
      </c>
      <c r="Q116" s="3066">
        <v>0</v>
      </c>
      <c r="R116" s="3066">
        <v>0</v>
      </c>
      <c r="S116" s="3066" t="s">
        <v>3577</v>
      </c>
      <c r="T116" s="3066">
        <v>45</v>
      </c>
      <c r="U116" s="3066">
        <v>1665</v>
      </c>
      <c r="V116" s="3066" t="s">
        <v>3560</v>
      </c>
      <c r="W116" s="3066" t="s">
        <v>3568</v>
      </c>
      <c r="X116" s="3066">
        <v>2</v>
      </c>
      <c r="Y116" s="3066">
        <v>888</v>
      </c>
      <c r="Z116" s="3066" t="s">
        <v>3568</v>
      </c>
      <c r="AA116" s="3066" t="s">
        <v>3560</v>
      </c>
      <c r="AB116" s="3066" t="s">
        <v>3932</v>
      </c>
      <c r="AC116" s="3066" t="s">
        <v>3932</v>
      </c>
      <c r="AD116" s="3066" t="s">
        <v>3932</v>
      </c>
      <c r="AE116" s="3066" t="s">
        <v>3560</v>
      </c>
      <c r="AF116" s="3067">
        <v>1665</v>
      </c>
      <c r="AG116" s="3066">
        <v>1665</v>
      </c>
      <c r="AH116" s="3066">
        <v>74</v>
      </c>
      <c r="AI116" s="3066">
        <v>74</v>
      </c>
      <c r="AJ116" s="3066">
        <v>0</v>
      </c>
      <c r="AK116" s="3066">
        <v>0</v>
      </c>
      <c r="AL116" s="3066">
        <v>1739</v>
      </c>
      <c r="AM116" s="3066">
        <v>1739</v>
      </c>
      <c r="AN116" s="3066" t="s">
        <v>3560</v>
      </c>
      <c r="AP116" s="3068">
        <f t="shared" si="1"/>
        <v>45</v>
      </c>
    </row>
    <row r="117" spans="2:42" ht="27" customHeight="1">
      <c r="B117" s="3066">
        <v>125</v>
      </c>
      <c r="C117" s="3066" t="s">
        <v>4002</v>
      </c>
      <c r="D117" s="3066" t="s">
        <v>4019</v>
      </c>
      <c r="E117" s="3066" t="s">
        <v>4049</v>
      </c>
      <c r="F117" s="3066" t="s">
        <v>3917</v>
      </c>
      <c r="G117" s="3066" t="s">
        <v>1373</v>
      </c>
      <c r="H117" s="3066" t="s">
        <v>3560</v>
      </c>
      <c r="I117" s="3066" t="s">
        <v>4021</v>
      </c>
      <c r="J117" s="3066" t="s">
        <v>4021</v>
      </c>
      <c r="K117" s="3066" t="s">
        <v>3560</v>
      </c>
      <c r="L117" s="3066" t="s">
        <v>4022</v>
      </c>
      <c r="M117" s="3066" t="s">
        <v>4050</v>
      </c>
      <c r="N117" s="3066">
        <v>37</v>
      </c>
      <c r="O117" s="3066" t="s">
        <v>4044</v>
      </c>
      <c r="P117" s="3066" t="s">
        <v>3566</v>
      </c>
      <c r="Q117" s="3066">
        <v>0</v>
      </c>
      <c r="R117" s="3066">
        <v>0</v>
      </c>
      <c r="S117" s="3066" t="s">
        <v>3577</v>
      </c>
      <c r="T117" s="3066">
        <v>45</v>
      </c>
      <c r="U117" s="3066">
        <v>1665</v>
      </c>
      <c r="V117" s="3066" t="s">
        <v>3560</v>
      </c>
      <c r="W117" s="3066" t="s">
        <v>3568</v>
      </c>
      <c r="X117" s="3066">
        <v>2</v>
      </c>
      <c r="Y117" s="3066">
        <v>888</v>
      </c>
      <c r="Z117" s="3066" t="s">
        <v>3568</v>
      </c>
      <c r="AA117" s="3066" t="s">
        <v>3560</v>
      </c>
      <c r="AB117" s="3066" t="s">
        <v>3932</v>
      </c>
      <c r="AC117" s="3066" t="s">
        <v>3932</v>
      </c>
      <c r="AD117" s="3066" t="s">
        <v>3932</v>
      </c>
      <c r="AE117" s="3066" t="s">
        <v>3560</v>
      </c>
      <c r="AF117" s="3067">
        <v>1665</v>
      </c>
      <c r="AG117" s="3066">
        <v>1665</v>
      </c>
      <c r="AH117" s="3066">
        <v>74</v>
      </c>
      <c r="AI117" s="3066">
        <v>74</v>
      </c>
      <c r="AJ117" s="3066">
        <v>0</v>
      </c>
      <c r="AK117" s="3066">
        <v>0</v>
      </c>
      <c r="AL117" s="3066">
        <v>1739</v>
      </c>
      <c r="AM117" s="3066">
        <v>1739</v>
      </c>
      <c r="AN117" s="3066" t="s">
        <v>3560</v>
      </c>
      <c r="AP117" s="3068">
        <f t="shared" si="1"/>
        <v>45</v>
      </c>
    </row>
    <row r="118" spans="2:42" ht="27" customHeight="1">
      <c r="B118" s="3066">
        <v>126</v>
      </c>
      <c r="C118" s="3066" t="s">
        <v>4002</v>
      </c>
      <c r="D118" s="3066" t="s">
        <v>4019</v>
      </c>
      <c r="E118" s="3066" t="s">
        <v>4051</v>
      </c>
      <c r="F118" s="3066" t="s">
        <v>3917</v>
      </c>
      <c r="G118" s="3066" t="s">
        <v>1373</v>
      </c>
      <c r="H118" s="3066" t="s">
        <v>3560</v>
      </c>
      <c r="I118" s="3066" t="s">
        <v>4021</v>
      </c>
      <c r="J118" s="3066" t="s">
        <v>4021</v>
      </c>
      <c r="K118" s="3066" t="s">
        <v>3560</v>
      </c>
      <c r="L118" s="3066" t="s">
        <v>4022</v>
      </c>
      <c r="M118" s="3066" t="s">
        <v>4052</v>
      </c>
      <c r="N118" s="3066">
        <v>43</v>
      </c>
      <c r="O118" s="3066" t="s">
        <v>3619</v>
      </c>
      <c r="P118" s="3066" t="s">
        <v>3566</v>
      </c>
      <c r="Q118" s="3066">
        <v>1</v>
      </c>
      <c r="R118" s="3066">
        <v>0</v>
      </c>
      <c r="S118" s="3066" t="s">
        <v>3577</v>
      </c>
      <c r="T118" s="3066">
        <v>50</v>
      </c>
      <c r="U118" s="3066">
        <v>2150</v>
      </c>
      <c r="V118" s="3066" t="s">
        <v>3560</v>
      </c>
      <c r="W118" s="3066" t="s">
        <v>3568</v>
      </c>
      <c r="X118" s="3066">
        <v>2.33</v>
      </c>
      <c r="Y118" s="3066">
        <v>1200</v>
      </c>
      <c r="Z118" s="3066" t="s">
        <v>3568</v>
      </c>
      <c r="AA118" s="3066" t="s">
        <v>3560</v>
      </c>
      <c r="AB118" s="3066" t="s">
        <v>3584</v>
      </c>
      <c r="AC118" s="3066" t="s">
        <v>3584</v>
      </c>
      <c r="AD118" s="3066" t="s">
        <v>3584</v>
      </c>
      <c r="AE118" s="3066" t="s">
        <v>3560</v>
      </c>
      <c r="AF118" s="3067">
        <v>2150</v>
      </c>
      <c r="AG118" s="3066">
        <v>2150</v>
      </c>
      <c r="AH118" s="3066">
        <v>100</v>
      </c>
      <c r="AI118" s="3066">
        <v>100</v>
      </c>
      <c r="AJ118" s="3066">
        <v>1749.63</v>
      </c>
      <c r="AK118" s="3066">
        <v>1749.63</v>
      </c>
      <c r="AL118" s="3066">
        <v>3999.63</v>
      </c>
      <c r="AM118" s="3066">
        <v>3999.63</v>
      </c>
      <c r="AN118" s="3066" t="s">
        <v>3560</v>
      </c>
      <c r="AP118" s="3068">
        <f t="shared" si="1"/>
        <v>50</v>
      </c>
    </row>
    <row r="119" spans="2:42" ht="27" customHeight="1">
      <c r="B119" s="3066">
        <v>127</v>
      </c>
      <c r="C119" s="3066" t="s">
        <v>4002</v>
      </c>
      <c r="D119" s="3066" t="s">
        <v>4053</v>
      </c>
      <c r="E119" s="3066" t="s">
        <v>4054</v>
      </c>
      <c r="F119" s="3066" t="s">
        <v>3917</v>
      </c>
      <c r="G119" s="3066" t="s">
        <v>3560</v>
      </c>
      <c r="H119" s="3066" t="s">
        <v>3560</v>
      </c>
      <c r="I119" s="3066" t="s">
        <v>4055</v>
      </c>
      <c r="J119" s="3066" t="s">
        <v>4055</v>
      </c>
      <c r="K119" s="3066" t="s">
        <v>3560</v>
      </c>
      <c r="L119" s="3066" t="s">
        <v>4056</v>
      </c>
      <c r="M119" s="3066" t="s">
        <v>4057</v>
      </c>
      <c r="N119" s="3066">
        <v>37</v>
      </c>
      <c r="O119" s="3066" t="s">
        <v>3583</v>
      </c>
      <c r="P119" s="3066" t="s">
        <v>3566</v>
      </c>
      <c r="Q119" s="3066">
        <v>0</v>
      </c>
      <c r="R119" s="3066">
        <v>5166</v>
      </c>
      <c r="S119" s="3066" t="s">
        <v>3567</v>
      </c>
      <c r="T119" s="3066">
        <v>21</v>
      </c>
      <c r="U119" s="3066">
        <v>777</v>
      </c>
      <c r="V119" s="3066" t="s">
        <v>3560</v>
      </c>
      <c r="W119" s="3066" t="s">
        <v>3568</v>
      </c>
      <c r="X119" s="3066">
        <v>2.27</v>
      </c>
      <c r="Y119" s="3066">
        <v>1008</v>
      </c>
      <c r="Z119" s="3066" t="s">
        <v>3568</v>
      </c>
      <c r="AA119" s="3066" t="s">
        <v>3560</v>
      </c>
      <c r="AB119" s="3066" t="s">
        <v>3584</v>
      </c>
      <c r="AC119" s="3066" t="s">
        <v>3584</v>
      </c>
      <c r="AD119" s="3066" t="s">
        <v>3584</v>
      </c>
      <c r="AE119" s="3066" t="s">
        <v>3560</v>
      </c>
      <c r="AF119" s="3067">
        <v>777</v>
      </c>
      <c r="AG119" s="3066">
        <v>777</v>
      </c>
      <c r="AH119" s="3066">
        <v>84</v>
      </c>
      <c r="AI119" s="3066">
        <v>84</v>
      </c>
      <c r="AJ119" s="3066">
        <v>157.04</v>
      </c>
      <c r="AK119" s="3066">
        <v>157.04</v>
      </c>
      <c r="AL119" s="3066">
        <v>1018.04</v>
      </c>
      <c r="AM119" s="3066">
        <v>1018.04</v>
      </c>
      <c r="AN119" s="3066" t="s">
        <v>3560</v>
      </c>
      <c r="AP119" s="3068">
        <f t="shared" si="1"/>
        <v>21</v>
      </c>
    </row>
    <row r="120" spans="2:42" ht="27" customHeight="1">
      <c r="B120" s="3066">
        <v>128</v>
      </c>
      <c r="C120" s="3066" t="s">
        <v>4002</v>
      </c>
      <c r="D120" s="3066" t="s">
        <v>4053</v>
      </c>
      <c r="E120" s="3066" t="s">
        <v>4058</v>
      </c>
      <c r="F120" s="3066" t="s">
        <v>3917</v>
      </c>
      <c r="G120" s="3066" t="s">
        <v>3560</v>
      </c>
      <c r="H120" s="3066" t="s">
        <v>3560</v>
      </c>
      <c r="I120" s="3066" t="s">
        <v>4055</v>
      </c>
      <c r="J120" s="3066" t="s">
        <v>4055</v>
      </c>
      <c r="K120" s="3066" t="s">
        <v>3560</v>
      </c>
      <c r="L120" s="3066" t="s">
        <v>4056</v>
      </c>
      <c r="M120" s="3066" t="s">
        <v>4059</v>
      </c>
      <c r="N120" s="3066">
        <v>37</v>
      </c>
      <c r="O120" s="3066" t="s">
        <v>3583</v>
      </c>
      <c r="P120" s="3066" t="s">
        <v>3566</v>
      </c>
      <c r="Q120" s="3066">
        <v>0</v>
      </c>
      <c r="R120" s="3066">
        <v>0</v>
      </c>
      <c r="S120" s="3066" t="s">
        <v>3577</v>
      </c>
      <c r="T120" s="3066">
        <v>21</v>
      </c>
      <c r="U120" s="3066">
        <v>777</v>
      </c>
      <c r="V120" s="3066" t="s">
        <v>3560</v>
      </c>
      <c r="W120" s="3066" t="s">
        <v>3568</v>
      </c>
      <c r="X120" s="3066">
        <v>2.27</v>
      </c>
      <c r="Y120" s="3066">
        <v>1008</v>
      </c>
      <c r="Z120" s="3066" t="s">
        <v>3568</v>
      </c>
      <c r="AA120" s="3066" t="s">
        <v>3560</v>
      </c>
      <c r="AB120" s="3066" t="s">
        <v>3584</v>
      </c>
      <c r="AC120" s="3066" t="s">
        <v>3584</v>
      </c>
      <c r="AD120" s="3066" t="s">
        <v>3584</v>
      </c>
      <c r="AE120" s="3066" t="s">
        <v>3560</v>
      </c>
      <c r="AF120" s="3067">
        <v>777</v>
      </c>
      <c r="AG120" s="3066">
        <v>777</v>
      </c>
      <c r="AH120" s="3066">
        <v>84</v>
      </c>
      <c r="AI120" s="3066">
        <v>84</v>
      </c>
      <c r="AJ120" s="3066">
        <v>0</v>
      </c>
      <c r="AK120" s="3066">
        <v>0</v>
      </c>
      <c r="AL120" s="3066">
        <v>861</v>
      </c>
      <c r="AM120" s="3066">
        <v>861</v>
      </c>
      <c r="AN120" s="3066" t="s">
        <v>3560</v>
      </c>
      <c r="AP120" s="3068">
        <f t="shared" si="1"/>
        <v>21</v>
      </c>
    </row>
    <row r="121" spans="2:42" ht="27" customHeight="1">
      <c r="B121" s="3066">
        <v>129</v>
      </c>
      <c r="C121" s="3066" t="s">
        <v>4002</v>
      </c>
      <c r="D121" s="3066" t="s">
        <v>4053</v>
      </c>
      <c r="E121" s="3066" t="s">
        <v>4060</v>
      </c>
      <c r="F121" s="3066" t="s">
        <v>3917</v>
      </c>
      <c r="G121" s="3066" t="s">
        <v>1373</v>
      </c>
      <c r="H121" s="3066" t="s">
        <v>3560</v>
      </c>
      <c r="I121" s="3066" t="s">
        <v>4061</v>
      </c>
      <c r="J121" s="3066" t="s">
        <v>4061</v>
      </c>
      <c r="K121" s="3066" t="s">
        <v>3560</v>
      </c>
      <c r="L121" s="3066" t="s">
        <v>4062</v>
      </c>
      <c r="M121" s="3066" t="s">
        <v>4063</v>
      </c>
      <c r="N121" s="3066">
        <v>37</v>
      </c>
      <c r="O121" s="3066" t="s">
        <v>4064</v>
      </c>
      <c r="P121" s="3066" t="s">
        <v>3566</v>
      </c>
      <c r="Q121" s="3066">
        <v>5</v>
      </c>
      <c r="R121" s="3066">
        <v>0</v>
      </c>
      <c r="S121" s="3066" t="s">
        <v>3577</v>
      </c>
      <c r="T121" s="3066">
        <v>2.7</v>
      </c>
      <c r="U121" s="3066">
        <v>100</v>
      </c>
      <c r="V121" s="3066" t="s">
        <v>3560</v>
      </c>
      <c r="W121" s="3066" t="s">
        <v>3568</v>
      </c>
      <c r="X121" s="3066">
        <v>0.27</v>
      </c>
      <c r="Y121" s="3066">
        <v>120</v>
      </c>
      <c r="Z121" s="3066" t="s">
        <v>3568</v>
      </c>
      <c r="AA121" s="3066" t="s">
        <v>3560</v>
      </c>
      <c r="AB121" s="3066" t="s">
        <v>3642</v>
      </c>
      <c r="AC121" s="3066" t="s">
        <v>3642</v>
      </c>
      <c r="AD121" s="3066" t="s">
        <v>3642</v>
      </c>
      <c r="AE121" s="3066" t="s">
        <v>3560</v>
      </c>
      <c r="AF121" s="3067">
        <v>100</v>
      </c>
      <c r="AG121" s="3066">
        <v>100</v>
      </c>
      <c r="AH121" s="3066">
        <v>10</v>
      </c>
      <c r="AI121" s="3066">
        <v>10</v>
      </c>
      <c r="AJ121" s="3066">
        <v>22.15</v>
      </c>
      <c r="AK121" s="3066">
        <v>22.15</v>
      </c>
      <c r="AL121" s="3066">
        <v>132.15</v>
      </c>
      <c r="AM121" s="3066">
        <v>132.15</v>
      </c>
      <c r="AN121" s="3066" t="s">
        <v>3560</v>
      </c>
      <c r="AP121" s="3068">
        <f t="shared" si="1"/>
        <v>2.7027027027027026</v>
      </c>
    </row>
    <row r="122" spans="2:42" ht="27" customHeight="1">
      <c r="B122" s="3066">
        <v>130</v>
      </c>
      <c r="C122" s="3066" t="s">
        <v>4002</v>
      </c>
      <c r="D122" s="3066" t="s">
        <v>4053</v>
      </c>
      <c r="E122" s="3066" t="s">
        <v>4065</v>
      </c>
      <c r="F122" s="3066" t="s">
        <v>3917</v>
      </c>
      <c r="G122" s="3066" t="s">
        <v>1373</v>
      </c>
      <c r="H122" s="3066" t="s">
        <v>3560</v>
      </c>
      <c r="I122" s="3066" t="s">
        <v>4061</v>
      </c>
      <c r="J122" s="3066" t="s">
        <v>4061</v>
      </c>
      <c r="K122" s="3066" t="s">
        <v>3560</v>
      </c>
      <c r="L122" s="3066" t="s">
        <v>4062</v>
      </c>
      <c r="M122" s="3066" t="s">
        <v>4066</v>
      </c>
      <c r="N122" s="3066">
        <v>37</v>
      </c>
      <c r="O122" s="3066" t="s">
        <v>4064</v>
      </c>
      <c r="P122" s="3066" t="s">
        <v>3566</v>
      </c>
      <c r="Q122" s="3066">
        <v>5</v>
      </c>
      <c r="R122" s="3066">
        <v>0</v>
      </c>
      <c r="S122" s="3066" t="s">
        <v>3577</v>
      </c>
      <c r="T122" s="3066">
        <v>0</v>
      </c>
      <c r="U122" s="3066">
        <v>0</v>
      </c>
      <c r="V122" s="3066" t="s">
        <v>3560</v>
      </c>
      <c r="W122" s="3066" t="s">
        <v>3568</v>
      </c>
      <c r="X122" s="3066">
        <v>0.27</v>
      </c>
      <c r="Y122" s="3066">
        <v>120</v>
      </c>
      <c r="Z122" s="3066" t="s">
        <v>3568</v>
      </c>
      <c r="AA122" s="3066" t="s">
        <v>3560</v>
      </c>
      <c r="AB122" s="3066" t="s">
        <v>3642</v>
      </c>
      <c r="AC122" s="3066" t="s">
        <v>3642</v>
      </c>
      <c r="AD122" s="3066" t="s">
        <v>3642</v>
      </c>
      <c r="AE122" s="3066" t="s">
        <v>3560</v>
      </c>
      <c r="AF122" s="3067">
        <v>0</v>
      </c>
      <c r="AG122" s="3066">
        <v>0</v>
      </c>
      <c r="AH122" s="3066">
        <v>10</v>
      </c>
      <c r="AI122" s="3066">
        <v>10</v>
      </c>
      <c r="AJ122" s="3066">
        <v>0</v>
      </c>
      <c r="AK122" s="3066">
        <v>0</v>
      </c>
      <c r="AL122" s="3066">
        <v>10</v>
      </c>
      <c r="AM122" s="3066">
        <v>10</v>
      </c>
      <c r="AN122" s="3066" t="s">
        <v>3560</v>
      </c>
      <c r="AP122" s="3068">
        <f t="shared" si="1"/>
        <v>0</v>
      </c>
    </row>
    <row r="123" spans="2:42" ht="27" customHeight="1">
      <c r="B123" s="3066">
        <v>131</v>
      </c>
      <c r="C123" s="3066" t="s">
        <v>4002</v>
      </c>
      <c r="D123" s="3066" t="s">
        <v>4053</v>
      </c>
      <c r="E123" s="3066" t="s">
        <v>4067</v>
      </c>
      <c r="F123" s="3066" t="s">
        <v>3917</v>
      </c>
      <c r="G123" s="3066" t="s">
        <v>1373</v>
      </c>
      <c r="H123" s="3066" t="s">
        <v>3560</v>
      </c>
      <c r="I123" s="3066" t="s">
        <v>4068</v>
      </c>
      <c r="J123" s="3066" t="s">
        <v>4068</v>
      </c>
      <c r="K123" s="3066" t="s">
        <v>3560</v>
      </c>
      <c r="L123" s="3066" t="s">
        <v>4069</v>
      </c>
      <c r="M123" s="3066" t="s">
        <v>4070</v>
      </c>
      <c r="N123" s="3066">
        <v>37</v>
      </c>
      <c r="O123" s="3066" t="s">
        <v>3608</v>
      </c>
      <c r="P123" s="3066" t="s">
        <v>3566</v>
      </c>
      <c r="Q123" s="3066">
        <v>1</v>
      </c>
      <c r="R123" s="3066">
        <v>6955</v>
      </c>
      <c r="S123" s="3066" t="s">
        <v>3567</v>
      </c>
      <c r="T123" s="3066">
        <v>20</v>
      </c>
      <c r="U123" s="3066">
        <v>740</v>
      </c>
      <c r="V123" s="3066" t="s">
        <v>3560</v>
      </c>
      <c r="W123" s="3066" t="s">
        <v>3568</v>
      </c>
      <c r="X123" s="3066">
        <v>2.27</v>
      </c>
      <c r="Y123" s="3066">
        <v>1008</v>
      </c>
      <c r="Z123" s="3066" t="s">
        <v>3568</v>
      </c>
      <c r="AA123" s="3066" t="s">
        <v>3560</v>
      </c>
      <c r="AB123" s="3066" t="s">
        <v>3609</v>
      </c>
      <c r="AC123" s="3066" t="s">
        <v>3609</v>
      </c>
      <c r="AD123" s="3066" t="s">
        <v>3609</v>
      </c>
      <c r="AE123" s="3066" t="s">
        <v>3560</v>
      </c>
      <c r="AF123" s="3067">
        <v>740</v>
      </c>
      <c r="AG123" s="3066">
        <v>740</v>
      </c>
      <c r="AH123" s="3066">
        <v>84</v>
      </c>
      <c r="AI123" s="3066">
        <v>84</v>
      </c>
      <c r="AJ123" s="3066">
        <v>304.67</v>
      </c>
      <c r="AK123" s="3066">
        <v>304.67</v>
      </c>
      <c r="AL123" s="3066">
        <v>1128.67</v>
      </c>
      <c r="AM123" s="3066">
        <v>1128.67</v>
      </c>
      <c r="AN123" s="3066" t="s">
        <v>3560</v>
      </c>
      <c r="AP123" s="3068">
        <f t="shared" si="1"/>
        <v>20</v>
      </c>
    </row>
    <row r="124" spans="2:42" ht="27" customHeight="1">
      <c r="B124" s="3066">
        <v>132</v>
      </c>
      <c r="C124" s="3066" t="s">
        <v>4002</v>
      </c>
      <c r="D124" s="3066" t="s">
        <v>4053</v>
      </c>
      <c r="E124" s="3066" t="s">
        <v>4071</v>
      </c>
      <c r="F124" s="3066" t="s">
        <v>3917</v>
      </c>
      <c r="G124" s="3066" t="s">
        <v>1373</v>
      </c>
      <c r="H124" s="3066" t="s">
        <v>3560</v>
      </c>
      <c r="I124" s="3066" t="s">
        <v>4068</v>
      </c>
      <c r="J124" s="3066" t="s">
        <v>4068</v>
      </c>
      <c r="K124" s="3066" t="s">
        <v>3560</v>
      </c>
      <c r="L124" s="3066" t="s">
        <v>4069</v>
      </c>
      <c r="M124" s="3066" t="s">
        <v>4072</v>
      </c>
      <c r="N124" s="3066">
        <v>37</v>
      </c>
      <c r="O124" s="3066" t="s">
        <v>3608</v>
      </c>
      <c r="P124" s="3066" t="s">
        <v>3566</v>
      </c>
      <c r="Q124" s="3066">
        <v>1</v>
      </c>
      <c r="R124" s="3066">
        <v>0</v>
      </c>
      <c r="S124" s="3066" t="s">
        <v>3577</v>
      </c>
      <c r="T124" s="3066">
        <v>20</v>
      </c>
      <c r="U124" s="3066">
        <v>740</v>
      </c>
      <c r="V124" s="3066" t="s">
        <v>3560</v>
      </c>
      <c r="W124" s="3066" t="s">
        <v>3568</v>
      </c>
      <c r="X124" s="3066">
        <v>2.27</v>
      </c>
      <c r="Y124" s="3066">
        <v>1008</v>
      </c>
      <c r="Z124" s="3066" t="s">
        <v>3568</v>
      </c>
      <c r="AA124" s="3066" t="s">
        <v>3560</v>
      </c>
      <c r="AB124" s="3066" t="s">
        <v>3609</v>
      </c>
      <c r="AC124" s="3066" t="s">
        <v>3609</v>
      </c>
      <c r="AD124" s="3066" t="s">
        <v>3609</v>
      </c>
      <c r="AE124" s="3066" t="s">
        <v>3560</v>
      </c>
      <c r="AF124" s="3067">
        <v>740</v>
      </c>
      <c r="AG124" s="3066">
        <v>740</v>
      </c>
      <c r="AH124" s="3066">
        <v>84</v>
      </c>
      <c r="AI124" s="3066">
        <v>84</v>
      </c>
      <c r="AJ124" s="3066">
        <v>0</v>
      </c>
      <c r="AK124" s="3066">
        <v>0</v>
      </c>
      <c r="AL124" s="3066">
        <v>824</v>
      </c>
      <c r="AM124" s="3066">
        <v>824</v>
      </c>
      <c r="AN124" s="3066" t="s">
        <v>3560</v>
      </c>
      <c r="AP124" s="3068">
        <f t="shared" si="1"/>
        <v>20</v>
      </c>
    </row>
    <row r="125" spans="2:42" ht="27" customHeight="1">
      <c r="B125" s="3066">
        <v>133</v>
      </c>
      <c r="C125" s="3066" t="s">
        <v>4002</v>
      </c>
      <c r="D125" s="3066" t="s">
        <v>4053</v>
      </c>
      <c r="E125" s="3066" t="s">
        <v>4073</v>
      </c>
      <c r="F125" s="3066" t="s">
        <v>3917</v>
      </c>
      <c r="G125" s="3066" t="s">
        <v>1373</v>
      </c>
      <c r="H125" s="3066" t="s">
        <v>3560</v>
      </c>
      <c r="I125" s="3066" t="s">
        <v>4074</v>
      </c>
      <c r="J125" s="3066" t="s">
        <v>4074</v>
      </c>
      <c r="K125" s="3066" t="s">
        <v>3560</v>
      </c>
      <c r="L125" s="3066" t="s">
        <v>4075</v>
      </c>
      <c r="M125" s="3066" t="s">
        <v>4076</v>
      </c>
      <c r="N125" s="3066">
        <v>37</v>
      </c>
      <c r="O125" s="3066" t="s">
        <v>3950</v>
      </c>
      <c r="P125" s="3066" t="s">
        <v>3566</v>
      </c>
      <c r="Q125" s="3066">
        <v>1</v>
      </c>
      <c r="R125" s="3066">
        <v>4944</v>
      </c>
      <c r="S125" s="3066" t="s">
        <v>3567</v>
      </c>
      <c r="T125" s="3066">
        <v>21</v>
      </c>
      <c r="U125" s="3066">
        <v>777</v>
      </c>
      <c r="V125" s="3066" t="s">
        <v>3560</v>
      </c>
      <c r="W125" s="3066" t="s">
        <v>3568</v>
      </c>
      <c r="X125" s="3066">
        <v>2.27</v>
      </c>
      <c r="Y125" s="3066">
        <v>1008</v>
      </c>
      <c r="Z125" s="3066" t="s">
        <v>3568</v>
      </c>
      <c r="AA125" s="3066" t="s">
        <v>3560</v>
      </c>
      <c r="AB125" s="3066" t="s">
        <v>3951</v>
      </c>
      <c r="AC125" s="3066" t="s">
        <v>3951</v>
      </c>
      <c r="AD125" s="3066" t="s">
        <v>3951</v>
      </c>
      <c r="AE125" s="3066" t="s">
        <v>3560</v>
      </c>
      <c r="AF125" s="3067">
        <v>777</v>
      </c>
      <c r="AG125" s="3066">
        <v>0</v>
      </c>
      <c r="AH125" s="3066">
        <v>84</v>
      </c>
      <c r="AI125" s="3066">
        <v>0</v>
      </c>
      <c r="AJ125" s="3066">
        <v>96.98</v>
      </c>
      <c r="AK125" s="3066">
        <v>0</v>
      </c>
      <c r="AL125" s="3066">
        <v>957.98</v>
      </c>
      <c r="AM125" s="3066">
        <v>0</v>
      </c>
      <c r="AN125" s="3066" t="s">
        <v>3560</v>
      </c>
      <c r="AP125" s="3068">
        <f t="shared" si="1"/>
        <v>21</v>
      </c>
    </row>
    <row r="126" spans="2:42" ht="27" customHeight="1">
      <c r="B126" s="3066">
        <v>134</v>
      </c>
      <c r="C126" s="3066" t="s">
        <v>4002</v>
      </c>
      <c r="D126" s="3066" t="s">
        <v>4053</v>
      </c>
      <c r="E126" s="3066" t="s">
        <v>4077</v>
      </c>
      <c r="F126" s="3066" t="s">
        <v>3917</v>
      </c>
      <c r="G126" s="3066" t="s">
        <v>1373</v>
      </c>
      <c r="H126" s="3066" t="s">
        <v>3560</v>
      </c>
      <c r="I126" s="3066" t="s">
        <v>4074</v>
      </c>
      <c r="J126" s="3066" t="s">
        <v>4074</v>
      </c>
      <c r="K126" s="3066" t="s">
        <v>3560</v>
      </c>
      <c r="L126" s="3066" t="s">
        <v>4075</v>
      </c>
      <c r="M126" s="3066" t="s">
        <v>4078</v>
      </c>
      <c r="N126" s="3066">
        <v>37</v>
      </c>
      <c r="O126" s="3066" t="s">
        <v>3950</v>
      </c>
      <c r="P126" s="3066" t="s">
        <v>3566</v>
      </c>
      <c r="Q126" s="3066">
        <v>1</v>
      </c>
      <c r="R126" s="3066">
        <v>0</v>
      </c>
      <c r="S126" s="3066" t="s">
        <v>3577</v>
      </c>
      <c r="T126" s="3066">
        <v>21</v>
      </c>
      <c r="U126" s="3066">
        <v>777</v>
      </c>
      <c r="V126" s="3066" t="s">
        <v>3560</v>
      </c>
      <c r="W126" s="3066" t="s">
        <v>3568</v>
      </c>
      <c r="X126" s="3066">
        <v>2.27</v>
      </c>
      <c r="Y126" s="3066">
        <v>1008</v>
      </c>
      <c r="Z126" s="3066" t="s">
        <v>3568</v>
      </c>
      <c r="AA126" s="3066" t="s">
        <v>3560</v>
      </c>
      <c r="AB126" s="3066" t="s">
        <v>3951</v>
      </c>
      <c r="AC126" s="3066" t="s">
        <v>3951</v>
      </c>
      <c r="AD126" s="3066" t="s">
        <v>3951</v>
      </c>
      <c r="AE126" s="3066" t="s">
        <v>3560</v>
      </c>
      <c r="AF126" s="3067">
        <v>777</v>
      </c>
      <c r="AG126" s="3066">
        <v>0</v>
      </c>
      <c r="AH126" s="3066">
        <v>84</v>
      </c>
      <c r="AI126" s="3066">
        <v>0</v>
      </c>
      <c r="AJ126" s="3066">
        <v>0</v>
      </c>
      <c r="AK126" s="3066">
        <v>0</v>
      </c>
      <c r="AL126" s="3066">
        <v>861</v>
      </c>
      <c r="AM126" s="3066">
        <v>0</v>
      </c>
      <c r="AN126" s="3066" t="s">
        <v>3560</v>
      </c>
      <c r="AP126" s="3068">
        <f t="shared" si="1"/>
        <v>21</v>
      </c>
    </row>
    <row r="127" spans="2:42" ht="27" customHeight="1">
      <c r="B127" s="3066">
        <v>135</v>
      </c>
      <c r="C127" s="3066" t="s">
        <v>4002</v>
      </c>
      <c r="D127" s="3066" t="s">
        <v>4053</v>
      </c>
      <c r="E127" s="3066" t="s">
        <v>4079</v>
      </c>
      <c r="F127" s="3066" t="s">
        <v>3917</v>
      </c>
      <c r="G127" s="3066" t="s">
        <v>1373</v>
      </c>
      <c r="H127" s="3066" t="s">
        <v>3560</v>
      </c>
      <c r="I127" s="3066" t="s">
        <v>3766</v>
      </c>
      <c r="J127" s="3066" t="s">
        <v>3767</v>
      </c>
      <c r="K127" s="3066" t="s">
        <v>3560</v>
      </c>
      <c r="L127" s="3066" t="s">
        <v>3768</v>
      </c>
      <c r="M127" s="3066" t="s">
        <v>4080</v>
      </c>
      <c r="N127" s="3066">
        <v>37</v>
      </c>
      <c r="O127" s="3066" t="s">
        <v>3676</v>
      </c>
      <c r="P127" s="3066" t="s">
        <v>3566</v>
      </c>
      <c r="Q127" s="3066">
        <v>1</v>
      </c>
      <c r="R127" s="3066">
        <v>5106</v>
      </c>
      <c r="S127" s="3066" t="s">
        <v>3567</v>
      </c>
      <c r="T127" s="3066">
        <v>21</v>
      </c>
      <c r="U127" s="3066">
        <v>777</v>
      </c>
      <c r="V127" s="3066" t="s">
        <v>3560</v>
      </c>
      <c r="W127" s="3066" t="s">
        <v>3568</v>
      </c>
      <c r="X127" s="3066">
        <v>2</v>
      </c>
      <c r="Y127" s="3066">
        <v>888</v>
      </c>
      <c r="Z127" s="3066" t="s">
        <v>3568</v>
      </c>
      <c r="AA127" s="3066" t="s">
        <v>3560</v>
      </c>
      <c r="AB127" s="3066" t="s">
        <v>3677</v>
      </c>
      <c r="AC127" s="3066" t="s">
        <v>3677</v>
      </c>
      <c r="AD127" s="3066" t="s">
        <v>3677</v>
      </c>
      <c r="AE127" s="3066" t="s">
        <v>3560</v>
      </c>
      <c r="AF127" s="3067">
        <v>777</v>
      </c>
      <c r="AG127" s="3066">
        <v>0</v>
      </c>
      <c r="AH127" s="3066">
        <v>74</v>
      </c>
      <c r="AI127" s="3066">
        <v>0</v>
      </c>
      <c r="AJ127" s="3066">
        <v>0</v>
      </c>
      <c r="AK127" s="3066">
        <v>0</v>
      </c>
      <c r="AL127" s="3066">
        <v>851</v>
      </c>
      <c r="AM127" s="3066">
        <v>0</v>
      </c>
      <c r="AN127" s="3066" t="s">
        <v>3560</v>
      </c>
      <c r="AP127" s="3068">
        <f t="shared" si="1"/>
        <v>21</v>
      </c>
    </row>
    <row r="128" spans="2:42" ht="27" customHeight="1">
      <c r="B128" s="3066">
        <v>136</v>
      </c>
      <c r="C128" s="3066" t="s">
        <v>4002</v>
      </c>
      <c r="D128" s="3066" t="s">
        <v>4053</v>
      </c>
      <c r="E128" s="3066" t="s">
        <v>4081</v>
      </c>
      <c r="F128" s="3066" t="s">
        <v>3917</v>
      </c>
      <c r="G128" s="3066" t="s">
        <v>1373</v>
      </c>
      <c r="H128" s="3066" t="s">
        <v>3560</v>
      </c>
      <c r="I128" s="3066" t="s">
        <v>3766</v>
      </c>
      <c r="J128" s="3066" t="s">
        <v>3767</v>
      </c>
      <c r="K128" s="3066" t="s">
        <v>3560</v>
      </c>
      <c r="L128" s="3066" t="s">
        <v>3768</v>
      </c>
      <c r="M128" s="3066" t="s">
        <v>4082</v>
      </c>
      <c r="N128" s="3066">
        <v>37</v>
      </c>
      <c r="O128" s="3066" t="s">
        <v>3676</v>
      </c>
      <c r="P128" s="3066" t="s">
        <v>3566</v>
      </c>
      <c r="Q128" s="3066">
        <v>1</v>
      </c>
      <c r="R128" s="3066">
        <v>0</v>
      </c>
      <c r="S128" s="3066" t="s">
        <v>3577</v>
      </c>
      <c r="T128" s="3066">
        <v>21</v>
      </c>
      <c r="U128" s="3066">
        <v>777</v>
      </c>
      <c r="V128" s="3066" t="s">
        <v>3560</v>
      </c>
      <c r="W128" s="3066" t="s">
        <v>3568</v>
      </c>
      <c r="X128" s="3066">
        <v>2</v>
      </c>
      <c r="Y128" s="3066">
        <v>888</v>
      </c>
      <c r="Z128" s="3066" t="s">
        <v>3568</v>
      </c>
      <c r="AA128" s="3066" t="s">
        <v>3560</v>
      </c>
      <c r="AB128" s="3066" t="s">
        <v>3677</v>
      </c>
      <c r="AC128" s="3066" t="s">
        <v>3677</v>
      </c>
      <c r="AD128" s="3066" t="s">
        <v>3677</v>
      </c>
      <c r="AE128" s="3066" t="s">
        <v>3560</v>
      </c>
      <c r="AF128" s="3067">
        <v>777</v>
      </c>
      <c r="AG128" s="3066">
        <v>0</v>
      </c>
      <c r="AH128" s="3066">
        <v>74</v>
      </c>
      <c r="AI128" s="3066">
        <v>0</v>
      </c>
      <c r="AJ128" s="3066">
        <v>168.74</v>
      </c>
      <c r="AK128" s="3066">
        <v>0</v>
      </c>
      <c r="AL128" s="3066">
        <v>1019.74</v>
      </c>
      <c r="AM128" s="3066">
        <v>0</v>
      </c>
      <c r="AN128" s="3066" t="s">
        <v>3560</v>
      </c>
      <c r="AP128" s="3068">
        <f t="shared" si="1"/>
        <v>21</v>
      </c>
    </row>
    <row r="129" spans="2:42" ht="27" customHeight="1">
      <c r="B129" s="3066">
        <v>137</v>
      </c>
      <c r="C129" s="3066" t="s">
        <v>4002</v>
      </c>
      <c r="D129" s="3066" t="s">
        <v>4053</v>
      </c>
      <c r="E129" s="3066" t="s">
        <v>4083</v>
      </c>
      <c r="F129" s="3066" t="s">
        <v>3917</v>
      </c>
      <c r="G129" s="3066" t="s">
        <v>1373</v>
      </c>
      <c r="H129" s="3066" t="s">
        <v>3560</v>
      </c>
      <c r="I129" s="3066" t="s">
        <v>4084</v>
      </c>
      <c r="J129" s="3066" t="s">
        <v>4084</v>
      </c>
      <c r="K129" s="3066" t="s">
        <v>3560</v>
      </c>
      <c r="L129" s="3066" t="s">
        <v>3560</v>
      </c>
      <c r="M129" s="3066" t="s">
        <v>4085</v>
      </c>
      <c r="N129" s="3066">
        <v>37</v>
      </c>
      <c r="O129" s="3066" t="s">
        <v>4086</v>
      </c>
      <c r="P129" s="3066" t="s">
        <v>3566</v>
      </c>
      <c r="Q129" s="3066">
        <v>1</v>
      </c>
      <c r="R129" s="3066">
        <v>2220</v>
      </c>
      <c r="S129" s="3066" t="s">
        <v>3567</v>
      </c>
      <c r="T129" s="3066">
        <v>20</v>
      </c>
      <c r="U129" s="3066">
        <v>740</v>
      </c>
      <c r="V129" s="3066" t="s">
        <v>3560</v>
      </c>
      <c r="W129" s="3066" t="s">
        <v>3568</v>
      </c>
      <c r="X129" s="3066">
        <v>2.27</v>
      </c>
      <c r="Y129" s="3066">
        <v>1008</v>
      </c>
      <c r="Z129" s="3066" t="s">
        <v>3568</v>
      </c>
      <c r="AA129" s="3066" t="s">
        <v>3560</v>
      </c>
      <c r="AB129" s="3066" t="s">
        <v>4087</v>
      </c>
      <c r="AC129" s="3066" t="s">
        <v>4087</v>
      </c>
      <c r="AD129" s="3066" t="s">
        <v>4087</v>
      </c>
      <c r="AE129" s="3066" t="s">
        <v>3560</v>
      </c>
      <c r="AF129" s="3067">
        <v>740</v>
      </c>
      <c r="AG129" s="3066">
        <v>740</v>
      </c>
      <c r="AH129" s="3066">
        <v>84</v>
      </c>
      <c r="AI129" s="3066">
        <v>84</v>
      </c>
      <c r="AJ129" s="3066">
        <v>134.36000000000001</v>
      </c>
      <c r="AK129" s="3066">
        <v>134.36000000000001</v>
      </c>
      <c r="AL129" s="3066">
        <v>958.36</v>
      </c>
      <c r="AM129" s="3066">
        <v>958.36</v>
      </c>
      <c r="AN129" s="3066" t="s">
        <v>3560</v>
      </c>
      <c r="AP129" s="3068">
        <f t="shared" si="1"/>
        <v>20</v>
      </c>
    </row>
    <row r="130" spans="2:42" ht="27" customHeight="1">
      <c r="B130" s="3066">
        <v>138</v>
      </c>
      <c r="C130" s="3066" t="s">
        <v>4002</v>
      </c>
      <c r="D130" s="3066" t="s">
        <v>4053</v>
      </c>
      <c r="E130" s="3066" t="s">
        <v>4088</v>
      </c>
      <c r="F130" s="3066" t="s">
        <v>3917</v>
      </c>
      <c r="G130" s="3066" t="s">
        <v>1373</v>
      </c>
      <c r="H130" s="3066" t="s">
        <v>3560</v>
      </c>
      <c r="I130" s="3066" t="s">
        <v>4089</v>
      </c>
      <c r="J130" s="3066" t="s">
        <v>4089</v>
      </c>
      <c r="K130" s="3066" t="s">
        <v>3560</v>
      </c>
      <c r="L130" s="3066" t="s">
        <v>4090</v>
      </c>
      <c r="M130" s="3066" t="s">
        <v>4091</v>
      </c>
      <c r="N130" s="3066">
        <v>43</v>
      </c>
      <c r="O130" s="3066" t="s">
        <v>3950</v>
      </c>
      <c r="P130" s="3066" t="s">
        <v>3566</v>
      </c>
      <c r="Q130" s="3066">
        <v>1</v>
      </c>
      <c r="R130" s="3066">
        <v>2868</v>
      </c>
      <c r="S130" s="3066" t="s">
        <v>3567</v>
      </c>
      <c r="T130" s="3066">
        <v>21</v>
      </c>
      <c r="U130" s="3066">
        <v>903</v>
      </c>
      <c r="V130" s="3066" t="s">
        <v>3560</v>
      </c>
      <c r="W130" s="3066" t="s">
        <v>3568</v>
      </c>
      <c r="X130" s="3066">
        <v>2.23</v>
      </c>
      <c r="Y130" s="3066">
        <v>1152</v>
      </c>
      <c r="Z130" s="3066" t="s">
        <v>3568</v>
      </c>
      <c r="AA130" s="3066" t="s">
        <v>3560</v>
      </c>
      <c r="AB130" s="3066" t="s">
        <v>3951</v>
      </c>
      <c r="AC130" s="3066" t="s">
        <v>3951</v>
      </c>
      <c r="AD130" s="3066" t="s">
        <v>3951</v>
      </c>
      <c r="AE130" s="3066" t="s">
        <v>3560</v>
      </c>
      <c r="AF130" s="3067">
        <v>903</v>
      </c>
      <c r="AG130" s="3066">
        <v>903</v>
      </c>
      <c r="AH130" s="3066">
        <v>96</v>
      </c>
      <c r="AI130" s="3066">
        <v>96</v>
      </c>
      <c r="AJ130" s="3066">
        <v>47.59</v>
      </c>
      <c r="AK130" s="3066">
        <v>47.59</v>
      </c>
      <c r="AL130" s="3066">
        <v>1046.5899999999999</v>
      </c>
      <c r="AM130" s="3066">
        <v>1046.5899999999999</v>
      </c>
      <c r="AN130" s="3066" t="s">
        <v>3560</v>
      </c>
      <c r="AP130" s="3068">
        <f t="shared" si="1"/>
        <v>21</v>
      </c>
    </row>
    <row r="131" spans="2:42" ht="27" customHeight="1">
      <c r="B131" s="3066">
        <v>139</v>
      </c>
      <c r="C131" s="3066" t="s">
        <v>4002</v>
      </c>
      <c r="D131" s="3066" t="s">
        <v>3915</v>
      </c>
      <c r="E131" s="3066" t="s">
        <v>4092</v>
      </c>
      <c r="F131" s="3066" t="s">
        <v>3917</v>
      </c>
      <c r="G131" s="3066" t="s">
        <v>1373</v>
      </c>
      <c r="H131" s="3066" t="s">
        <v>3560</v>
      </c>
      <c r="I131" s="3066" t="s">
        <v>4093</v>
      </c>
      <c r="J131" s="3066" t="s">
        <v>4093</v>
      </c>
      <c r="K131" s="3066" t="s">
        <v>3560</v>
      </c>
      <c r="L131" s="3066" t="s">
        <v>4094</v>
      </c>
      <c r="M131" s="3066" t="s">
        <v>4095</v>
      </c>
      <c r="N131" s="3066">
        <v>37</v>
      </c>
      <c r="O131" s="3066" t="s">
        <v>3619</v>
      </c>
      <c r="P131" s="3066" t="s">
        <v>4096</v>
      </c>
      <c r="Q131" s="3066">
        <v>1</v>
      </c>
      <c r="R131" s="3066">
        <v>2472</v>
      </c>
      <c r="S131" s="3066" t="s">
        <v>3567</v>
      </c>
      <c r="T131" s="3066">
        <v>21</v>
      </c>
      <c r="U131" s="3066">
        <v>777</v>
      </c>
      <c r="V131" s="3066" t="s">
        <v>3560</v>
      </c>
      <c r="W131" s="3066" t="s">
        <v>3568</v>
      </c>
      <c r="X131" s="3066">
        <v>2.27</v>
      </c>
      <c r="Y131" s="3066">
        <v>1008</v>
      </c>
      <c r="Z131" s="3066" t="s">
        <v>3568</v>
      </c>
      <c r="AA131" s="3066" t="s">
        <v>3560</v>
      </c>
      <c r="AB131" s="3066" t="s">
        <v>3584</v>
      </c>
      <c r="AC131" s="3066" t="s">
        <v>3584</v>
      </c>
      <c r="AD131" s="3066" t="s">
        <v>3584</v>
      </c>
      <c r="AE131" s="3066" t="s">
        <v>3560</v>
      </c>
      <c r="AF131" s="3067">
        <v>777</v>
      </c>
      <c r="AG131" s="3066">
        <v>0</v>
      </c>
      <c r="AH131" s="3066">
        <v>84</v>
      </c>
      <c r="AI131" s="3066">
        <v>0</v>
      </c>
      <c r="AJ131" s="3066">
        <v>526.79</v>
      </c>
      <c r="AK131" s="3066">
        <v>0</v>
      </c>
      <c r="AL131" s="3066">
        <v>1387.79</v>
      </c>
      <c r="AM131" s="3066">
        <v>0</v>
      </c>
      <c r="AN131" s="3066" t="s">
        <v>3560</v>
      </c>
      <c r="AP131" s="3068">
        <f t="shared" si="1"/>
        <v>21</v>
      </c>
    </row>
    <row r="132" spans="2:42" ht="27" customHeight="1">
      <c r="B132" s="3066">
        <v>140</v>
      </c>
      <c r="C132" s="3066" t="s">
        <v>4002</v>
      </c>
      <c r="D132" s="3066" t="s">
        <v>3915</v>
      </c>
      <c r="E132" s="3066" t="s">
        <v>4097</v>
      </c>
      <c r="F132" s="3066" t="s">
        <v>3917</v>
      </c>
      <c r="G132" s="3066" t="s">
        <v>3560</v>
      </c>
      <c r="H132" s="3066" t="s">
        <v>3560</v>
      </c>
      <c r="I132" s="3066" t="s">
        <v>4035</v>
      </c>
      <c r="J132" s="3066" t="s">
        <v>4035</v>
      </c>
      <c r="K132" s="3066" t="s">
        <v>3560</v>
      </c>
      <c r="L132" s="3066" t="s">
        <v>4036</v>
      </c>
      <c r="M132" s="3066" t="s">
        <v>4098</v>
      </c>
      <c r="N132" s="3066">
        <v>37</v>
      </c>
      <c r="O132" s="3066" t="s">
        <v>3608</v>
      </c>
      <c r="P132" s="3066" t="s">
        <v>3566</v>
      </c>
      <c r="Q132" s="3066">
        <v>1</v>
      </c>
      <c r="R132" s="3066">
        <v>2472</v>
      </c>
      <c r="S132" s="3066" t="s">
        <v>3567</v>
      </c>
      <c r="T132" s="3066">
        <v>20</v>
      </c>
      <c r="U132" s="3066">
        <v>740</v>
      </c>
      <c r="V132" s="3066" t="s">
        <v>3560</v>
      </c>
      <c r="W132" s="3066" t="s">
        <v>3568</v>
      </c>
      <c r="X132" s="3066">
        <v>2.27</v>
      </c>
      <c r="Y132" s="3066">
        <v>1008</v>
      </c>
      <c r="Z132" s="3066" t="s">
        <v>3568</v>
      </c>
      <c r="AA132" s="3066" t="s">
        <v>3560</v>
      </c>
      <c r="AB132" s="3066" t="s">
        <v>3609</v>
      </c>
      <c r="AC132" s="3066" t="s">
        <v>3609</v>
      </c>
      <c r="AD132" s="3066" t="s">
        <v>3609</v>
      </c>
      <c r="AE132" s="3066" t="s">
        <v>3560</v>
      </c>
      <c r="AF132" s="3067">
        <v>740</v>
      </c>
      <c r="AG132" s="3066">
        <v>740</v>
      </c>
      <c r="AH132" s="3066">
        <v>84</v>
      </c>
      <c r="AI132" s="3066">
        <v>84</v>
      </c>
      <c r="AJ132" s="3066">
        <v>23.63</v>
      </c>
      <c r="AK132" s="3066">
        <v>23.63</v>
      </c>
      <c r="AL132" s="3066">
        <v>847.63</v>
      </c>
      <c r="AM132" s="3066">
        <v>847.63</v>
      </c>
      <c r="AN132" s="3066" t="s">
        <v>3560</v>
      </c>
      <c r="AP132" s="3068">
        <f t="shared" ref="AP132:AP195" si="2">AF132/N132</f>
        <v>20</v>
      </c>
    </row>
    <row r="133" spans="2:42" ht="27" customHeight="1">
      <c r="B133" s="3066">
        <v>141</v>
      </c>
      <c r="C133" s="3066" t="s">
        <v>4002</v>
      </c>
      <c r="D133" s="3066" t="s">
        <v>3915</v>
      </c>
      <c r="E133" s="3066" t="s">
        <v>4099</v>
      </c>
      <c r="F133" s="3066" t="s">
        <v>3917</v>
      </c>
      <c r="G133" s="3066" t="s">
        <v>1373</v>
      </c>
      <c r="H133" s="3066" t="s">
        <v>3560</v>
      </c>
      <c r="I133" s="3066" t="s">
        <v>4100</v>
      </c>
      <c r="J133" s="3066" t="s">
        <v>4100</v>
      </c>
      <c r="K133" s="3066" t="s">
        <v>3560</v>
      </c>
      <c r="L133" s="3066" t="s">
        <v>4101</v>
      </c>
      <c r="M133" s="3066" t="s">
        <v>4102</v>
      </c>
      <c r="N133" s="3066">
        <v>37</v>
      </c>
      <c r="O133" s="3066" t="s">
        <v>3619</v>
      </c>
      <c r="P133" s="3066" t="s">
        <v>3566</v>
      </c>
      <c r="Q133" s="3066">
        <v>1</v>
      </c>
      <c r="R133" s="3066">
        <v>4120</v>
      </c>
      <c r="S133" s="3066" t="s">
        <v>3567</v>
      </c>
      <c r="T133" s="3066">
        <v>21</v>
      </c>
      <c r="U133" s="3066">
        <v>777</v>
      </c>
      <c r="V133" s="3066" t="s">
        <v>3560</v>
      </c>
      <c r="W133" s="3066" t="s">
        <v>3568</v>
      </c>
      <c r="X133" s="3066">
        <v>2.27</v>
      </c>
      <c r="Y133" s="3066">
        <v>1008</v>
      </c>
      <c r="Z133" s="3066" t="s">
        <v>3568</v>
      </c>
      <c r="AA133" s="3066" t="s">
        <v>3560</v>
      </c>
      <c r="AB133" s="3066" t="s">
        <v>3584</v>
      </c>
      <c r="AC133" s="3066" t="s">
        <v>3584</v>
      </c>
      <c r="AD133" s="3066" t="s">
        <v>3584</v>
      </c>
      <c r="AE133" s="3066" t="s">
        <v>3560</v>
      </c>
      <c r="AF133" s="3067">
        <v>777</v>
      </c>
      <c r="AG133" s="3066">
        <v>777</v>
      </c>
      <c r="AH133" s="3066">
        <v>84</v>
      </c>
      <c r="AI133" s="3066">
        <v>84</v>
      </c>
      <c r="AJ133" s="3066">
        <v>119.41</v>
      </c>
      <c r="AK133" s="3066">
        <v>119.41</v>
      </c>
      <c r="AL133" s="3066">
        <v>980.41</v>
      </c>
      <c r="AM133" s="3066">
        <v>980.41</v>
      </c>
      <c r="AN133" s="3066" t="s">
        <v>3560</v>
      </c>
      <c r="AP133" s="3068">
        <f t="shared" si="2"/>
        <v>21</v>
      </c>
    </row>
    <row r="134" spans="2:42" ht="27" customHeight="1">
      <c r="B134" s="3066">
        <v>142</v>
      </c>
      <c r="C134" s="3066" t="s">
        <v>4002</v>
      </c>
      <c r="D134" s="3066" t="s">
        <v>3915</v>
      </c>
      <c r="E134" s="3066" t="s">
        <v>4103</v>
      </c>
      <c r="F134" s="3066" t="s">
        <v>3917</v>
      </c>
      <c r="G134" s="3066" t="s">
        <v>1373</v>
      </c>
      <c r="H134" s="3066" t="s">
        <v>3560</v>
      </c>
      <c r="I134" s="3066" t="s">
        <v>4104</v>
      </c>
      <c r="J134" s="3066" t="s">
        <v>4104</v>
      </c>
      <c r="K134" s="3066" t="s">
        <v>3560</v>
      </c>
      <c r="L134" s="3066" t="s">
        <v>4105</v>
      </c>
      <c r="M134" s="3066" t="s">
        <v>4106</v>
      </c>
      <c r="N134" s="3066">
        <v>37</v>
      </c>
      <c r="O134" s="3066" t="s">
        <v>3931</v>
      </c>
      <c r="P134" s="3066" t="s">
        <v>3566</v>
      </c>
      <c r="Q134" s="3066">
        <v>1</v>
      </c>
      <c r="R134" s="3066">
        <v>4120</v>
      </c>
      <c r="S134" s="3066" t="s">
        <v>3567</v>
      </c>
      <c r="T134" s="3066">
        <v>20</v>
      </c>
      <c r="U134" s="3066">
        <v>740</v>
      </c>
      <c r="V134" s="3066" t="s">
        <v>3560</v>
      </c>
      <c r="W134" s="3066" t="s">
        <v>3568</v>
      </c>
      <c r="X134" s="3066">
        <v>2.27</v>
      </c>
      <c r="Y134" s="3066">
        <v>1008</v>
      </c>
      <c r="Z134" s="3066" t="s">
        <v>3568</v>
      </c>
      <c r="AA134" s="3066" t="s">
        <v>3560</v>
      </c>
      <c r="AB134" s="3066" t="s">
        <v>3932</v>
      </c>
      <c r="AC134" s="3066" t="s">
        <v>3932</v>
      </c>
      <c r="AD134" s="3066" t="s">
        <v>3932</v>
      </c>
      <c r="AE134" s="3066" t="s">
        <v>3560</v>
      </c>
      <c r="AF134" s="3067">
        <v>740</v>
      </c>
      <c r="AG134" s="3066">
        <v>740</v>
      </c>
      <c r="AH134" s="3066">
        <v>84</v>
      </c>
      <c r="AI134" s="3066">
        <v>84</v>
      </c>
      <c r="AJ134" s="3066">
        <v>113.46</v>
      </c>
      <c r="AK134" s="3066">
        <v>113.46</v>
      </c>
      <c r="AL134" s="3066">
        <v>937.46</v>
      </c>
      <c r="AM134" s="3066">
        <v>937.46</v>
      </c>
      <c r="AN134" s="3066" t="s">
        <v>3560</v>
      </c>
      <c r="AP134" s="3068">
        <f t="shared" si="2"/>
        <v>20</v>
      </c>
    </row>
    <row r="135" spans="2:42" ht="27" customHeight="1">
      <c r="B135" s="3066">
        <v>143</v>
      </c>
      <c r="C135" s="3066" t="s">
        <v>4002</v>
      </c>
      <c r="D135" s="3066" t="s">
        <v>3915</v>
      </c>
      <c r="E135" s="3066" t="s">
        <v>4107</v>
      </c>
      <c r="F135" s="3066" t="s">
        <v>3917</v>
      </c>
      <c r="G135" s="3066" t="s">
        <v>3560</v>
      </c>
      <c r="H135" s="3066" t="s">
        <v>3560</v>
      </c>
      <c r="I135" s="3066" t="s">
        <v>4108</v>
      </c>
      <c r="J135" s="3066" t="s">
        <v>4109</v>
      </c>
      <c r="K135" s="3066" t="s">
        <v>3560</v>
      </c>
      <c r="L135" s="3066" t="s">
        <v>3560</v>
      </c>
      <c r="M135" s="3066" t="s">
        <v>4110</v>
      </c>
      <c r="N135" s="3066">
        <v>37</v>
      </c>
      <c r="O135" s="3066" t="s">
        <v>3590</v>
      </c>
      <c r="P135" s="3066" t="s">
        <v>3566</v>
      </c>
      <c r="Q135" s="3066">
        <v>0</v>
      </c>
      <c r="R135" s="3066">
        <v>6215</v>
      </c>
      <c r="S135" s="3066" t="s">
        <v>3567</v>
      </c>
      <c r="T135" s="3066">
        <v>20</v>
      </c>
      <c r="U135" s="3066">
        <v>740</v>
      </c>
      <c r="V135" s="3066" t="s">
        <v>3560</v>
      </c>
      <c r="W135" s="3066" t="s">
        <v>3568</v>
      </c>
      <c r="X135" s="3066">
        <v>2</v>
      </c>
      <c r="Y135" s="3066">
        <v>888</v>
      </c>
      <c r="Z135" s="3066" t="s">
        <v>3568</v>
      </c>
      <c r="AA135" s="3066" t="s">
        <v>3560</v>
      </c>
      <c r="AB135" s="3066" t="s">
        <v>3591</v>
      </c>
      <c r="AC135" s="3066" t="s">
        <v>3591</v>
      </c>
      <c r="AD135" s="3066" t="s">
        <v>3591</v>
      </c>
      <c r="AE135" s="3066" t="s">
        <v>3560</v>
      </c>
      <c r="AF135" s="3067">
        <v>740</v>
      </c>
      <c r="AG135" s="3066">
        <v>740</v>
      </c>
      <c r="AH135" s="3066">
        <v>74</v>
      </c>
      <c r="AI135" s="3066">
        <v>74</v>
      </c>
      <c r="AJ135" s="3066">
        <v>66.290000000000006</v>
      </c>
      <c r="AK135" s="3066">
        <v>66.290000000000006</v>
      </c>
      <c r="AL135" s="3066">
        <v>880.29</v>
      </c>
      <c r="AM135" s="3066">
        <v>880.29</v>
      </c>
      <c r="AN135" s="3066" t="s">
        <v>3560</v>
      </c>
      <c r="AP135" s="3068">
        <f t="shared" si="2"/>
        <v>20</v>
      </c>
    </row>
    <row r="136" spans="2:42" ht="27" customHeight="1">
      <c r="B136" s="3066">
        <v>144</v>
      </c>
      <c r="C136" s="3066" t="s">
        <v>4002</v>
      </c>
      <c r="D136" s="3066" t="s">
        <v>3915</v>
      </c>
      <c r="E136" s="3066" t="s">
        <v>4111</v>
      </c>
      <c r="F136" s="3066" t="s">
        <v>3917</v>
      </c>
      <c r="G136" s="3066" t="s">
        <v>3560</v>
      </c>
      <c r="H136" s="3066" t="s">
        <v>3560</v>
      </c>
      <c r="I136" s="3066" t="s">
        <v>4108</v>
      </c>
      <c r="J136" s="3066" t="s">
        <v>4109</v>
      </c>
      <c r="K136" s="3066" t="s">
        <v>3560</v>
      </c>
      <c r="L136" s="3066" t="s">
        <v>3560</v>
      </c>
      <c r="M136" s="3066" t="s">
        <v>4112</v>
      </c>
      <c r="N136" s="3066">
        <v>37</v>
      </c>
      <c r="O136" s="3066" t="s">
        <v>3590</v>
      </c>
      <c r="P136" s="3066" t="s">
        <v>3566</v>
      </c>
      <c r="Q136" s="3066">
        <v>0</v>
      </c>
      <c r="R136" s="3066">
        <v>0</v>
      </c>
      <c r="S136" s="3066" t="s">
        <v>3577</v>
      </c>
      <c r="T136" s="3066">
        <v>20</v>
      </c>
      <c r="U136" s="3066">
        <v>740</v>
      </c>
      <c r="V136" s="3066" t="s">
        <v>3560</v>
      </c>
      <c r="W136" s="3066" t="s">
        <v>3568</v>
      </c>
      <c r="X136" s="3066">
        <v>2</v>
      </c>
      <c r="Y136" s="3066">
        <v>888</v>
      </c>
      <c r="Z136" s="3066" t="s">
        <v>3568</v>
      </c>
      <c r="AA136" s="3066" t="s">
        <v>3560</v>
      </c>
      <c r="AB136" s="3066" t="s">
        <v>3591</v>
      </c>
      <c r="AC136" s="3066" t="s">
        <v>3591</v>
      </c>
      <c r="AD136" s="3066" t="s">
        <v>3591</v>
      </c>
      <c r="AE136" s="3066" t="s">
        <v>3560</v>
      </c>
      <c r="AF136" s="3067">
        <v>740</v>
      </c>
      <c r="AG136" s="3066">
        <v>740</v>
      </c>
      <c r="AH136" s="3066">
        <v>74</v>
      </c>
      <c r="AI136" s="3066">
        <v>74</v>
      </c>
      <c r="AJ136" s="3066">
        <v>110.64</v>
      </c>
      <c r="AK136" s="3066">
        <v>110.64</v>
      </c>
      <c r="AL136" s="3066">
        <v>924.64</v>
      </c>
      <c r="AM136" s="3066">
        <v>924.64</v>
      </c>
      <c r="AN136" s="3066" t="s">
        <v>3560</v>
      </c>
      <c r="AP136" s="3068">
        <f t="shared" si="2"/>
        <v>20</v>
      </c>
    </row>
    <row r="137" spans="2:42" ht="27" customHeight="1">
      <c r="B137" s="3066">
        <v>145</v>
      </c>
      <c r="C137" s="3066" t="s">
        <v>4002</v>
      </c>
      <c r="D137" s="3066" t="s">
        <v>3915</v>
      </c>
      <c r="E137" s="3066" t="s">
        <v>4113</v>
      </c>
      <c r="F137" s="3066" t="s">
        <v>3917</v>
      </c>
      <c r="G137" s="3066" t="s">
        <v>1373</v>
      </c>
      <c r="H137" s="3066" t="s">
        <v>3560</v>
      </c>
      <c r="I137" s="3066" t="s">
        <v>3737</v>
      </c>
      <c r="J137" s="3066" t="s">
        <v>3633</v>
      </c>
      <c r="K137" s="3066" t="s">
        <v>3560</v>
      </c>
      <c r="L137" s="3066" t="s">
        <v>3634</v>
      </c>
      <c r="M137" s="3066" t="s">
        <v>4114</v>
      </c>
      <c r="N137" s="3066">
        <v>37</v>
      </c>
      <c r="O137" s="3066" t="s">
        <v>3583</v>
      </c>
      <c r="P137" s="3066" t="s">
        <v>3566</v>
      </c>
      <c r="Q137" s="3066">
        <v>0</v>
      </c>
      <c r="R137" s="3066">
        <v>933</v>
      </c>
      <c r="S137" s="3066" t="s">
        <v>3567</v>
      </c>
      <c r="T137" s="3066">
        <v>20</v>
      </c>
      <c r="U137" s="3066">
        <v>740</v>
      </c>
      <c r="V137" s="3066" t="s">
        <v>3560</v>
      </c>
      <c r="W137" s="3066" t="s">
        <v>3568</v>
      </c>
      <c r="X137" s="3066">
        <v>2</v>
      </c>
      <c r="Y137" s="3066">
        <v>888</v>
      </c>
      <c r="Z137" s="3066" t="s">
        <v>3568</v>
      </c>
      <c r="AA137" s="3066" t="s">
        <v>3560</v>
      </c>
      <c r="AB137" s="3066" t="s">
        <v>3584</v>
      </c>
      <c r="AC137" s="3066" t="s">
        <v>3584</v>
      </c>
      <c r="AD137" s="3066" t="s">
        <v>3584</v>
      </c>
      <c r="AE137" s="3066" t="s">
        <v>3560</v>
      </c>
      <c r="AF137" s="3067">
        <v>740</v>
      </c>
      <c r="AG137" s="3066">
        <v>740</v>
      </c>
      <c r="AH137" s="3066">
        <v>74</v>
      </c>
      <c r="AI137" s="3066">
        <v>74</v>
      </c>
      <c r="AJ137" s="3066">
        <v>28.49</v>
      </c>
      <c r="AK137" s="3066">
        <v>28.49</v>
      </c>
      <c r="AL137" s="3066">
        <v>842.49</v>
      </c>
      <c r="AM137" s="3066">
        <v>842.49</v>
      </c>
      <c r="AN137" s="3066" t="s">
        <v>3560</v>
      </c>
      <c r="AP137" s="3068">
        <f t="shared" si="2"/>
        <v>20</v>
      </c>
    </row>
    <row r="138" spans="2:42" ht="27" customHeight="1">
      <c r="B138" s="3066">
        <v>146</v>
      </c>
      <c r="C138" s="3066" t="s">
        <v>4002</v>
      </c>
      <c r="D138" s="3066" t="s">
        <v>3915</v>
      </c>
      <c r="E138" s="3066" t="s">
        <v>4115</v>
      </c>
      <c r="F138" s="3066" t="s">
        <v>3917</v>
      </c>
      <c r="G138" s="3066" t="s">
        <v>1373</v>
      </c>
      <c r="H138" s="3066" t="s">
        <v>3560</v>
      </c>
      <c r="I138" s="3066" t="s">
        <v>3737</v>
      </c>
      <c r="J138" s="3066" t="s">
        <v>3633</v>
      </c>
      <c r="K138" s="3066" t="s">
        <v>3560</v>
      </c>
      <c r="L138" s="3066" t="s">
        <v>3634</v>
      </c>
      <c r="M138" s="3066" t="s">
        <v>4116</v>
      </c>
      <c r="N138" s="3066">
        <v>37</v>
      </c>
      <c r="O138" s="3066" t="s">
        <v>3583</v>
      </c>
      <c r="P138" s="3066" t="s">
        <v>3566</v>
      </c>
      <c r="Q138" s="3066">
        <v>0</v>
      </c>
      <c r="R138" s="3066">
        <v>0</v>
      </c>
      <c r="S138" s="3066" t="s">
        <v>3577</v>
      </c>
      <c r="T138" s="3066">
        <v>20</v>
      </c>
      <c r="U138" s="3066">
        <v>740</v>
      </c>
      <c r="V138" s="3066" t="s">
        <v>3560</v>
      </c>
      <c r="W138" s="3066" t="s">
        <v>3568</v>
      </c>
      <c r="X138" s="3066">
        <v>2</v>
      </c>
      <c r="Y138" s="3066">
        <v>888</v>
      </c>
      <c r="Z138" s="3066" t="s">
        <v>3568</v>
      </c>
      <c r="AA138" s="3066" t="s">
        <v>3560</v>
      </c>
      <c r="AB138" s="3066" t="s">
        <v>3584</v>
      </c>
      <c r="AC138" s="3066" t="s">
        <v>3584</v>
      </c>
      <c r="AD138" s="3066" t="s">
        <v>3584</v>
      </c>
      <c r="AE138" s="3066" t="s">
        <v>3560</v>
      </c>
      <c r="AF138" s="3067">
        <v>740</v>
      </c>
      <c r="AG138" s="3066">
        <v>740</v>
      </c>
      <c r="AH138" s="3066">
        <v>74</v>
      </c>
      <c r="AI138" s="3066">
        <v>74</v>
      </c>
      <c r="AJ138" s="3066">
        <v>37.14</v>
      </c>
      <c r="AK138" s="3066">
        <v>37.14</v>
      </c>
      <c r="AL138" s="3066">
        <v>851.14</v>
      </c>
      <c r="AM138" s="3066">
        <v>851.14</v>
      </c>
      <c r="AN138" s="3066" t="s">
        <v>3560</v>
      </c>
      <c r="AP138" s="3068">
        <f t="shared" si="2"/>
        <v>20</v>
      </c>
    </row>
    <row r="139" spans="2:42" ht="27" customHeight="1">
      <c r="B139" s="3066">
        <v>147</v>
      </c>
      <c r="C139" s="3066" t="s">
        <v>4002</v>
      </c>
      <c r="D139" s="3066" t="s">
        <v>3915</v>
      </c>
      <c r="E139" s="3066" t="s">
        <v>4117</v>
      </c>
      <c r="F139" s="3066" t="s">
        <v>3917</v>
      </c>
      <c r="G139" s="3066" t="s">
        <v>3560</v>
      </c>
      <c r="H139" s="3066" t="s">
        <v>3560</v>
      </c>
      <c r="I139" s="3066" t="s">
        <v>4118</v>
      </c>
      <c r="J139" s="3066" t="s">
        <v>4118</v>
      </c>
      <c r="K139" s="3066" t="s">
        <v>3560</v>
      </c>
      <c r="L139" s="3066" t="s">
        <v>4119</v>
      </c>
      <c r="M139" s="3066" t="s">
        <v>4120</v>
      </c>
      <c r="N139" s="3066">
        <v>37</v>
      </c>
      <c r="O139" s="3066" t="s">
        <v>3608</v>
      </c>
      <c r="P139" s="3066" t="s">
        <v>3566</v>
      </c>
      <c r="Q139" s="3066">
        <v>1</v>
      </c>
      <c r="R139" s="3066">
        <v>4120</v>
      </c>
      <c r="S139" s="3066" t="s">
        <v>3567</v>
      </c>
      <c r="T139" s="3066">
        <v>20</v>
      </c>
      <c r="U139" s="3066">
        <v>740</v>
      </c>
      <c r="V139" s="3066" t="s">
        <v>3560</v>
      </c>
      <c r="W139" s="3066" t="s">
        <v>3568</v>
      </c>
      <c r="X139" s="3066">
        <v>2.27</v>
      </c>
      <c r="Y139" s="3066">
        <v>1008</v>
      </c>
      <c r="Z139" s="3066" t="s">
        <v>3568</v>
      </c>
      <c r="AA139" s="3066" t="s">
        <v>3560</v>
      </c>
      <c r="AB139" s="3066" t="s">
        <v>3609</v>
      </c>
      <c r="AC139" s="3066" t="s">
        <v>3609</v>
      </c>
      <c r="AD139" s="3066" t="s">
        <v>3609</v>
      </c>
      <c r="AE139" s="3066" t="s">
        <v>3560</v>
      </c>
      <c r="AF139" s="3067">
        <v>740</v>
      </c>
      <c r="AG139" s="3066">
        <v>740</v>
      </c>
      <c r="AH139" s="3066">
        <v>84</v>
      </c>
      <c r="AI139" s="3066">
        <v>84</v>
      </c>
      <c r="AJ139" s="3066">
        <v>123.23</v>
      </c>
      <c r="AK139" s="3066">
        <v>123.23</v>
      </c>
      <c r="AL139" s="3066">
        <v>947.23</v>
      </c>
      <c r="AM139" s="3066">
        <v>947.23</v>
      </c>
      <c r="AN139" s="3066" t="s">
        <v>3560</v>
      </c>
      <c r="AP139" s="3068">
        <f t="shared" si="2"/>
        <v>20</v>
      </c>
    </row>
    <row r="140" spans="2:42" ht="27" customHeight="1">
      <c r="B140" s="3066">
        <v>148</v>
      </c>
      <c r="C140" s="3066" t="s">
        <v>4002</v>
      </c>
      <c r="D140" s="3066" t="s">
        <v>3915</v>
      </c>
      <c r="E140" s="3066" t="s">
        <v>4121</v>
      </c>
      <c r="F140" s="3066" t="s">
        <v>3917</v>
      </c>
      <c r="G140" s="3066" t="s">
        <v>1373</v>
      </c>
      <c r="H140" s="3066" t="s">
        <v>3560</v>
      </c>
      <c r="I140" s="3066" t="s">
        <v>4122</v>
      </c>
      <c r="J140" s="3066" t="s">
        <v>4122</v>
      </c>
      <c r="K140" s="3066" t="s">
        <v>3560</v>
      </c>
      <c r="L140" s="3066" t="s">
        <v>4123</v>
      </c>
      <c r="M140" s="3066" t="s">
        <v>4124</v>
      </c>
      <c r="N140" s="3066">
        <v>37</v>
      </c>
      <c r="O140" s="3066" t="s">
        <v>3608</v>
      </c>
      <c r="P140" s="3066" t="s">
        <v>3566</v>
      </c>
      <c r="Q140" s="3066">
        <v>1</v>
      </c>
      <c r="R140" s="3066">
        <v>4120</v>
      </c>
      <c r="S140" s="3066" t="s">
        <v>3567</v>
      </c>
      <c r="T140" s="3066">
        <v>20</v>
      </c>
      <c r="U140" s="3066">
        <v>740</v>
      </c>
      <c r="V140" s="3066" t="s">
        <v>3560</v>
      </c>
      <c r="W140" s="3066" t="s">
        <v>3568</v>
      </c>
      <c r="X140" s="3066">
        <v>2.27</v>
      </c>
      <c r="Y140" s="3066">
        <v>1008</v>
      </c>
      <c r="Z140" s="3066" t="s">
        <v>3568</v>
      </c>
      <c r="AA140" s="3066" t="s">
        <v>3560</v>
      </c>
      <c r="AB140" s="3066" t="s">
        <v>3609</v>
      </c>
      <c r="AC140" s="3066" t="s">
        <v>3609</v>
      </c>
      <c r="AD140" s="3066" t="s">
        <v>3609</v>
      </c>
      <c r="AE140" s="3066" t="s">
        <v>3560</v>
      </c>
      <c r="AF140" s="3067">
        <v>0</v>
      </c>
      <c r="AG140" s="3066">
        <v>0</v>
      </c>
      <c r="AH140" s="3066">
        <v>0</v>
      </c>
      <c r="AI140" s="3066">
        <v>0</v>
      </c>
      <c r="AJ140" s="3066">
        <v>73.760000000000005</v>
      </c>
      <c r="AK140" s="3066">
        <v>0</v>
      </c>
      <c r="AL140" s="3066">
        <v>73.760000000000005</v>
      </c>
      <c r="AM140" s="3066">
        <v>0</v>
      </c>
      <c r="AN140" s="3066" t="s">
        <v>3560</v>
      </c>
      <c r="AP140" s="3068">
        <f t="shared" si="2"/>
        <v>0</v>
      </c>
    </row>
    <row r="141" spans="2:42" ht="27" customHeight="1">
      <c r="B141" s="3066">
        <v>149</v>
      </c>
      <c r="C141" s="3066" t="s">
        <v>4002</v>
      </c>
      <c r="D141" s="3066" t="s">
        <v>3915</v>
      </c>
      <c r="E141" s="3066" t="s">
        <v>4125</v>
      </c>
      <c r="F141" s="3066" t="s">
        <v>3917</v>
      </c>
      <c r="G141" s="3066" t="s">
        <v>1373</v>
      </c>
      <c r="H141" s="3066" t="s">
        <v>3560</v>
      </c>
      <c r="I141" s="3066" t="s">
        <v>4126</v>
      </c>
      <c r="J141" s="3066" t="s">
        <v>4126</v>
      </c>
      <c r="K141" s="3066" t="s">
        <v>3560</v>
      </c>
      <c r="L141" s="3066" t="s">
        <v>4127</v>
      </c>
      <c r="M141" s="3066" t="s">
        <v>4128</v>
      </c>
      <c r="N141" s="3066">
        <v>37</v>
      </c>
      <c r="O141" s="3066" t="s">
        <v>3744</v>
      </c>
      <c r="P141" s="3066" t="s">
        <v>3566</v>
      </c>
      <c r="Q141" s="3066">
        <v>1</v>
      </c>
      <c r="R141" s="3066">
        <v>4120</v>
      </c>
      <c r="S141" s="3066" t="s">
        <v>3567</v>
      </c>
      <c r="T141" s="3066">
        <v>20</v>
      </c>
      <c r="U141" s="3066">
        <v>740</v>
      </c>
      <c r="V141" s="3066" t="s">
        <v>3560</v>
      </c>
      <c r="W141" s="3066" t="s">
        <v>3568</v>
      </c>
      <c r="X141" s="3066">
        <v>2.27</v>
      </c>
      <c r="Y141" s="3066">
        <v>1008</v>
      </c>
      <c r="Z141" s="3066" t="s">
        <v>3568</v>
      </c>
      <c r="AA141" s="3066" t="s">
        <v>3560</v>
      </c>
      <c r="AB141" s="3066" t="s">
        <v>3746</v>
      </c>
      <c r="AC141" s="3066" t="s">
        <v>3746</v>
      </c>
      <c r="AD141" s="3066" t="s">
        <v>3746</v>
      </c>
      <c r="AE141" s="3066" t="s">
        <v>3560</v>
      </c>
      <c r="AF141" s="3067">
        <v>740</v>
      </c>
      <c r="AG141" s="3066">
        <v>740</v>
      </c>
      <c r="AH141" s="3066">
        <v>84</v>
      </c>
      <c r="AI141" s="3066">
        <v>84</v>
      </c>
      <c r="AJ141" s="3066">
        <v>205.82</v>
      </c>
      <c r="AK141" s="3066">
        <v>205.82</v>
      </c>
      <c r="AL141" s="3066">
        <v>1029.82</v>
      </c>
      <c r="AM141" s="3066">
        <v>1029.82</v>
      </c>
      <c r="AN141" s="3066" t="s">
        <v>3560</v>
      </c>
      <c r="AP141" s="3068">
        <f t="shared" si="2"/>
        <v>20</v>
      </c>
    </row>
    <row r="142" spans="2:42" ht="27" customHeight="1">
      <c r="B142" s="3066">
        <v>150</v>
      </c>
      <c r="C142" s="3066" t="s">
        <v>4002</v>
      </c>
      <c r="D142" s="3066" t="s">
        <v>3915</v>
      </c>
      <c r="E142" s="3066" t="s">
        <v>4129</v>
      </c>
      <c r="F142" s="3066" t="s">
        <v>3917</v>
      </c>
      <c r="G142" s="3066" t="s">
        <v>1373</v>
      </c>
      <c r="H142" s="3066" t="s">
        <v>3560</v>
      </c>
      <c r="I142" s="3066" t="s">
        <v>4130</v>
      </c>
      <c r="J142" s="3066" t="s">
        <v>4130</v>
      </c>
      <c r="K142" s="3066" t="s">
        <v>3560</v>
      </c>
      <c r="L142" s="3066" t="s">
        <v>4131</v>
      </c>
      <c r="M142" s="3066" t="s">
        <v>4132</v>
      </c>
      <c r="N142" s="3066">
        <v>43</v>
      </c>
      <c r="O142" s="3066" t="s">
        <v>4044</v>
      </c>
      <c r="P142" s="3066" t="s">
        <v>3566</v>
      </c>
      <c r="Q142" s="3066">
        <v>0</v>
      </c>
      <c r="R142" s="3066">
        <v>2868</v>
      </c>
      <c r="S142" s="3066" t="s">
        <v>3567</v>
      </c>
      <c r="T142" s="3066">
        <v>20</v>
      </c>
      <c r="U142" s="3066">
        <v>860</v>
      </c>
      <c r="V142" s="3066" t="s">
        <v>3560</v>
      </c>
      <c r="W142" s="3066" t="s">
        <v>3568</v>
      </c>
      <c r="X142" s="3066">
        <v>2.23</v>
      </c>
      <c r="Y142" s="3066">
        <v>1152</v>
      </c>
      <c r="Z142" s="3066" t="s">
        <v>3568</v>
      </c>
      <c r="AA142" s="3066" t="s">
        <v>3560</v>
      </c>
      <c r="AB142" s="3066" t="s">
        <v>3932</v>
      </c>
      <c r="AC142" s="3066" t="s">
        <v>3932</v>
      </c>
      <c r="AD142" s="3066" t="s">
        <v>3932</v>
      </c>
      <c r="AE142" s="3066" t="s">
        <v>3560</v>
      </c>
      <c r="AF142" s="3067">
        <v>860</v>
      </c>
      <c r="AG142" s="3066">
        <v>860</v>
      </c>
      <c r="AH142" s="3066">
        <v>96</v>
      </c>
      <c r="AI142" s="3066">
        <v>96</v>
      </c>
      <c r="AJ142" s="3066">
        <v>46.32</v>
      </c>
      <c r="AK142" s="3066">
        <v>46.32</v>
      </c>
      <c r="AL142" s="3066">
        <v>1002.32</v>
      </c>
      <c r="AM142" s="3066">
        <v>1002.32</v>
      </c>
      <c r="AN142" s="3066" t="s">
        <v>3560</v>
      </c>
      <c r="AP142" s="3068">
        <f t="shared" si="2"/>
        <v>20</v>
      </c>
    </row>
    <row r="143" spans="2:42" ht="27" customHeight="1">
      <c r="B143" s="3066">
        <v>151</v>
      </c>
      <c r="C143" s="3066" t="s">
        <v>4002</v>
      </c>
      <c r="D143" s="3066" t="s">
        <v>3926</v>
      </c>
      <c r="E143" s="3066" t="s">
        <v>4133</v>
      </c>
      <c r="F143" s="3066" t="s">
        <v>3917</v>
      </c>
      <c r="G143" s="3066" t="s">
        <v>1373</v>
      </c>
      <c r="H143" s="3066" t="s">
        <v>3560</v>
      </c>
      <c r="I143" s="3066" t="s">
        <v>4134</v>
      </c>
      <c r="J143" s="3066" t="s">
        <v>4134</v>
      </c>
      <c r="K143" s="3066" t="s">
        <v>3560</v>
      </c>
      <c r="L143" s="3066" t="s">
        <v>4135</v>
      </c>
      <c r="M143" s="3066" t="s">
        <v>4136</v>
      </c>
      <c r="N143" s="3066">
        <v>37</v>
      </c>
      <c r="O143" s="3066" t="s">
        <v>4064</v>
      </c>
      <c r="P143" s="3066" t="s">
        <v>3566</v>
      </c>
      <c r="Q143" s="3066">
        <v>5</v>
      </c>
      <c r="R143" s="3066">
        <v>0</v>
      </c>
      <c r="S143" s="3066" t="s">
        <v>3577</v>
      </c>
      <c r="T143" s="3066">
        <v>5.41</v>
      </c>
      <c r="U143" s="3066">
        <v>200</v>
      </c>
      <c r="V143" s="3066" t="s">
        <v>3560</v>
      </c>
      <c r="W143" s="3066" t="s">
        <v>3568</v>
      </c>
      <c r="X143" s="3066">
        <v>0.27</v>
      </c>
      <c r="Y143" s="3066">
        <v>120</v>
      </c>
      <c r="Z143" s="3066" t="s">
        <v>3568</v>
      </c>
      <c r="AA143" s="3066" t="s">
        <v>3560</v>
      </c>
      <c r="AB143" s="3066" t="s">
        <v>3642</v>
      </c>
      <c r="AC143" s="3066" t="s">
        <v>3642</v>
      </c>
      <c r="AD143" s="3066" t="s">
        <v>3642</v>
      </c>
      <c r="AE143" s="3066" t="s">
        <v>3560</v>
      </c>
      <c r="AF143" s="3067">
        <v>200</v>
      </c>
      <c r="AG143" s="3066">
        <v>200</v>
      </c>
      <c r="AH143" s="3066">
        <v>10</v>
      </c>
      <c r="AI143" s="3066">
        <v>10</v>
      </c>
      <c r="AJ143" s="3066">
        <v>8.3800000000000008</v>
      </c>
      <c r="AK143" s="3066">
        <v>8.3800000000000008</v>
      </c>
      <c r="AL143" s="3066">
        <v>218.38</v>
      </c>
      <c r="AM143" s="3066">
        <v>218.38</v>
      </c>
      <c r="AN143" s="3066" t="s">
        <v>3560</v>
      </c>
      <c r="AP143" s="3068">
        <f t="shared" si="2"/>
        <v>5.4054054054054053</v>
      </c>
    </row>
    <row r="144" spans="2:42" ht="27" customHeight="1">
      <c r="B144" s="3066">
        <v>152</v>
      </c>
      <c r="C144" s="3066" t="s">
        <v>4002</v>
      </c>
      <c r="D144" s="3066" t="s">
        <v>3926</v>
      </c>
      <c r="E144" s="3066" t="s">
        <v>4137</v>
      </c>
      <c r="F144" s="3066" t="s">
        <v>3917</v>
      </c>
      <c r="G144" s="3066" t="s">
        <v>1373</v>
      </c>
      <c r="H144" s="3066" t="s">
        <v>3560</v>
      </c>
      <c r="I144" s="3066" t="s">
        <v>4138</v>
      </c>
      <c r="J144" s="3066" t="s">
        <v>4138</v>
      </c>
      <c r="K144" s="3066" t="s">
        <v>3560</v>
      </c>
      <c r="L144" s="3066" t="s">
        <v>4139</v>
      </c>
      <c r="M144" s="3066" t="s">
        <v>4140</v>
      </c>
      <c r="N144" s="3066">
        <v>37</v>
      </c>
      <c r="O144" s="3066" t="s">
        <v>3619</v>
      </c>
      <c r="P144" s="3066" t="s">
        <v>3566</v>
      </c>
      <c r="Q144" s="3066">
        <v>1</v>
      </c>
      <c r="R144" s="3066">
        <v>2472</v>
      </c>
      <c r="S144" s="3066" t="s">
        <v>3567</v>
      </c>
      <c r="T144" s="3066">
        <v>21</v>
      </c>
      <c r="U144" s="3066">
        <v>777</v>
      </c>
      <c r="V144" s="3066" t="s">
        <v>3560</v>
      </c>
      <c r="W144" s="3066" t="s">
        <v>3568</v>
      </c>
      <c r="X144" s="3066">
        <v>2.27</v>
      </c>
      <c r="Y144" s="3066">
        <v>1008</v>
      </c>
      <c r="Z144" s="3066" t="s">
        <v>3568</v>
      </c>
      <c r="AA144" s="3066" t="s">
        <v>3560</v>
      </c>
      <c r="AB144" s="3066" t="s">
        <v>3584</v>
      </c>
      <c r="AC144" s="3066" t="s">
        <v>3584</v>
      </c>
      <c r="AD144" s="3066" t="s">
        <v>3584</v>
      </c>
      <c r="AE144" s="3066" t="s">
        <v>3560</v>
      </c>
      <c r="AF144" s="3067">
        <v>777</v>
      </c>
      <c r="AG144" s="3066">
        <v>777</v>
      </c>
      <c r="AH144" s="3066">
        <v>84</v>
      </c>
      <c r="AI144" s="3066">
        <v>84</v>
      </c>
      <c r="AJ144" s="3066">
        <v>243.48</v>
      </c>
      <c r="AK144" s="3066">
        <v>243.48</v>
      </c>
      <c r="AL144" s="3066">
        <v>1104.48</v>
      </c>
      <c r="AM144" s="3066">
        <v>1104.48</v>
      </c>
      <c r="AN144" s="3066" t="s">
        <v>3560</v>
      </c>
      <c r="AP144" s="3068">
        <f t="shared" si="2"/>
        <v>21</v>
      </c>
    </row>
    <row r="145" spans="2:42" ht="27" customHeight="1">
      <c r="B145" s="3066">
        <v>153</v>
      </c>
      <c r="C145" s="3066" t="s">
        <v>4002</v>
      </c>
      <c r="D145" s="3066" t="s">
        <v>3926</v>
      </c>
      <c r="E145" s="3066" t="s">
        <v>4141</v>
      </c>
      <c r="F145" s="3066" t="s">
        <v>3917</v>
      </c>
      <c r="G145" s="3066" t="s">
        <v>3560</v>
      </c>
      <c r="H145" s="3066" t="s">
        <v>3560</v>
      </c>
      <c r="I145" s="3066" t="s">
        <v>3560</v>
      </c>
      <c r="J145" s="3066" t="s">
        <v>3560</v>
      </c>
      <c r="K145" s="3066" t="s">
        <v>3560</v>
      </c>
      <c r="L145" s="3066" t="s">
        <v>3560</v>
      </c>
      <c r="M145" s="3066" t="s">
        <v>4142</v>
      </c>
      <c r="N145" s="3066">
        <v>37</v>
      </c>
      <c r="O145" s="3066" t="s">
        <v>3560</v>
      </c>
      <c r="P145" s="3066" t="s">
        <v>3560</v>
      </c>
      <c r="Q145" s="3066">
        <v>0</v>
      </c>
      <c r="R145" s="3066">
        <v>0</v>
      </c>
      <c r="S145" s="3066" t="s">
        <v>3577</v>
      </c>
      <c r="T145" s="3066">
        <v>0</v>
      </c>
      <c r="U145" s="3066">
        <v>0</v>
      </c>
      <c r="V145" s="3066" t="s">
        <v>3560</v>
      </c>
      <c r="W145" s="3066" t="s">
        <v>3568</v>
      </c>
      <c r="X145" s="3066">
        <v>0</v>
      </c>
      <c r="Y145" s="3066">
        <v>0</v>
      </c>
      <c r="Z145" s="3066" t="s">
        <v>3568</v>
      </c>
      <c r="AA145" s="3066" t="s">
        <v>3560</v>
      </c>
      <c r="AB145" s="3066" t="s">
        <v>3560</v>
      </c>
      <c r="AC145" s="3066" t="s">
        <v>3560</v>
      </c>
      <c r="AD145" s="3066" t="s">
        <v>3560</v>
      </c>
      <c r="AE145" s="3066" t="s">
        <v>3560</v>
      </c>
      <c r="AF145" s="3067">
        <v>0</v>
      </c>
      <c r="AG145" s="3066">
        <v>0</v>
      </c>
      <c r="AH145" s="3066">
        <v>0</v>
      </c>
      <c r="AI145" s="3066">
        <v>0</v>
      </c>
      <c r="AJ145" s="3066">
        <v>0</v>
      </c>
      <c r="AK145" s="3066">
        <v>0</v>
      </c>
      <c r="AL145" s="3066">
        <v>0</v>
      </c>
      <c r="AM145" s="3066">
        <v>0</v>
      </c>
      <c r="AN145" s="3066" t="s">
        <v>3560</v>
      </c>
      <c r="AP145" s="3068">
        <f t="shared" si="2"/>
        <v>0</v>
      </c>
    </row>
    <row r="146" spans="2:42" ht="27" customHeight="1">
      <c r="B146" s="3066">
        <v>154</v>
      </c>
      <c r="C146" s="3066" t="s">
        <v>4002</v>
      </c>
      <c r="D146" s="3066" t="s">
        <v>3926</v>
      </c>
      <c r="E146" s="3066" t="s">
        <v>4143</v>
      </c>
      <c r="F146" s="3066" t="s">
        <v>3917</v>
      </c>
      <c r="G146" s="3066" t="s">
        <v>3560</v>
      </c>
      <c r="H146" s="3066" t="s">
        <v>3560</v>
      </c>
      <c r="I146" s="3066" t="s">
        <v>4144</v>
      </c>
      <c r="J146" s="3066" t="s">
        <v>4144</v>
      </c>
      <c r="K146" s="3066" t="s">
        <v>3560</v>
      </c>
      <c r="L146" s="3066" t="s">
        <v>4145</v>
      </c>
      <c r="M146" s="3066" t="s">
        <v>4146</v>
      </c>
      <c r="N146" s="3066">
        <v>37</v>
      </c>
      <c r="O146" s="3066" t="s">
        <v>4147</v>
      </c>
      <c r="P146" s="3066" t="s">
        <v>3566</v>
      </c>
      <c r="Q146" s="3066">
        <v>2</v>
      </c>
      <c r="R146" s="3066">
        <v>0</v>
      </c>
      <c r="S146" s="3066" t="s">
        <v>3577</v>
      </c>
      <c r="T146" s="3066">
        <v>5.41</v>
      </c>
      <c r="U146" s="3066">
        <v>200</v>
      </c>
      <c r="V146" s="3066" t="s">
        <v>3560</v>
      </c>
      <c r="W146" s="3066" t="s">
        <v>3568</v>
      </c>
      <c r="X146" s="3066">
        <v>0.27</v>
      </c>
      <c r="Y146" s="3066">
        <v>120</v>
      </c>
      <c r="Z146" s="3066" t="s">
        <v>3568</v>
      </c>
      <c r="AA146" s="3066" t="s">
        <v>3560</v>
      </c>
      <c r="AB146" s="3066" t="s">
        <v>3677</v>
      </c>
      <c r="AC146" s="3066" t="s">
        <v>3677</v>
      </c>
      <c r="AD146" s="3066" t="s">
        <v>3677</v>
      </c>
      <c r="AE146" s="3066" t="s">
        <v>3560</v>
      </c>
      <c r="AF146" s="3067">
        <v>200</v>
      </c>
      <c r="AG146" s="3066">
        <v>200</v>
      </c>
      <c r="AH146" s="3066">
        <v>10</v>
      </c>
      <c r="AI146" s="3066">
        <v>10</v>
      </c>
      <c r="AJ146" s="3066">
        <v>34.049999999999997</v>
      </c>
      <c r="AK146" s="3066">
        <v>34.049999999999997</v>
      </c>
      <c r="AL146" s="3066">
        <v>244.05</v>
      </c>
      <c r="AM146" s="3066">
        <v>244.05</v>
      </c>
      <c r="AN146" s="3066" t="s">
        <v>3560</v>
      </c>
      <c r="AP146" s="3068">
        <f t="shared" si="2"/>
        <v>5.4054054054054053</v>
      </c>
    </row>
    <row r="147" spans="2:42" ht="27" customHeight="1">
      <c r="B147" s="3066">
        <v>155</v>
      </c>
      <c r="C147" s="3066" t="s">
        <v>4002</v>
      </c>
      <c r="D147" s="3066" t="s">
        <v>3926</v>
      </c>
      <c r="E147" s="3066" t="s">
        <v>4148</v>
      </c>
      <c r="F147" s="3066" t="s">
        <v>3917</v>
      </c>
      <c r="G147" s="3066" t="s">
        <v>3560</v>
      </c>
      <c r="H147" s="3066" t="s">
        <v>3560</v>
      </c>
      <c r="I147" s="3066" t="s">
        <v>4149</v>
      </c>
      <c r="J147" s="3066" t="s">
        <v>4149</v>
      </c>
      <c r="K147" s="3066" t="s">
        <v>3560</v>
      </c>
      <c r="L147" s="3066" t="s">
        <v>4150</v>
      </c>
      <c r="M147" s="3066" t="s">
        <v>4151</v>
      </c>
      <c r="N147" s="3066">
        <v>37</v>
      </c>
      <c r="O147" s="3066" t="s">
        <v>3619</v>
      </c>
      <c r="P147" s="3066" t="s">
        <v>3566</v>
      </c>
      <c r="Q147" s="3066">
        <v>1</v>
      </c>
      <c r="R147" s="3066">
        <v>2472</v>
      </c>
      <c r="S147" s="3066" t="s">
        <v>3567</v>
      </c>
      <c r="T147" s="3066">
        <v>21</v>
      </c>
      <c r="U147" s="3066">
        <v>777</v>
      </c>
      <c r="V147" s="3066" t="s">
        <v>3560</v>
      </c>
      <c r="W147" s="3066" t="s">
        <v>3568</v>
      </c>
      <c r="X147" s="3066">
        <v>2.27</v>
      </c>
      <c r="Y147" s="3066">
        <v>1008</v>
      </c>
      <c r="Z147" s="3066" t="s">
        <v>3568</v>
      </c>
      <c r="AA147" s="3066" t="s">
        <v>3560</v>
      </c>
      <c r="AB147" s="3066" t="s">
        <v>3584</v>
      </c>
      <c r="AC147" s="3066" t="s">
        <v>3584</v>
      </c>
      <c r="AD147" s="3066" t="s">
        <v>3584</v>
      </c>
      <c r="AE147" s="3066" t="s">
        <v>3560</v>
      </c>
      <c r="AF147" s="3067">
        <v>777</v>
      </c>
      <c r="AG147" s="3066">
        <v>777</v>
      </c>
      <c r="AH147" s="3066">
        <v>84</v>
      </c>
      <c r="AI147" s="3066">
        <v>84</v>
      </c>
      <c r="AJ147" s="3066">
        <v>73.680000000000007</v>
      </c>
      <c r="AK147" s="3066">
        <v>73.680000000000007</v>
      </c>
      <c r="AL147" s="3066">
        <v>934.68</v>
      </c>
      <c r="AM147" s="3066">
        <v>934.68</v>
      </c>
      <c r="AN147" s="3066" t="s">
        <v>3560</v>
      </c>
      <c r="AP147" s="3068">
        <f t="shared" si="2"/>
        <v>21</v>
      </c>
    </row>
    <row r="148" spans="2:42" ht="27" customHeight="1">
      <c r="B148" s="3066">
        <v>156</v>
      </c>
      <c r="C148" s="3066" t="s">
        <v>4002</v>
      </c>
      <c r="D148" s="3066" t="s">
        <v>3926</v>
      </c>
      <c r="E148" s="3066" t="s">
        <v>4152</v>
      </c>
      <c r="F148" s="3066" t="s">
        <v>3917</v>
      </c>
      <c r="G148" s="3066" t="s">
        <v>1373</v>
      </c>
      <c r="H148" s="3066" t="s">
        <v>3560</v>
      </c>
      <c r="I148" s="3066" t="s">
        <v>4153</v>
      </c>
      <c r="J148" s="3066" t="s">
        <v>4153</v>
      </c>
      <c r="K148" s="3066" t="s">
        <v>3560</v>
      </c>
      <c r="L148" s="3066" t="s">
        <v>4154</v>
      </c>
      <c r="M148" s="3066" t="s">
        <v>4155</v>
      </c>
      <c r="N148" s="3066">
        <v>37</v>
      </c>
      <c r="O148" s="3066" t="s">
        <v>3619</v>
      </c>
      <c r="P148" s="3066" t="s">
        <v>3566</v>
      </c>
      <c r="Q148" s="3066">
        <v>1</v>
      </c>
      <c r="R148" s="3066">
        <v>2472</v>
      </c>
      <c r="S148" s="3066" t="s">
        <v>3567</v>
      </c>
      <c r="T148" s="3066">
        <v>21</v>
      </c>
      <c r="U148" s="3066">
        <v>777</v>
      </c>
      <c r="V148" s="3066" t="s">
        <v>3560</v>
      </c>
      <c r="W148" s="3066" t="s">
        <v>3568</v>
      </c>
      <c r="X148" s="3066">
        <v>2.27</v>
      </c>
      <c r="Y148" s="3066">
        <v>1008</v>
      </c>
      <c r="Z148" s="3066" t="s">
        <v>3568</v>
      </c>
      <c r="AA148" s="3066" t="s">
        <v>3560</v>
      </c>
      <c r="AB148" s="3066" t="s">
        <v>3584</v>
      </c>
      <c r="AC148" s="3066" t="s">
        <v>3584</v>
      </c>
      <c r="AD148" s="3066" t="s">
        <v>3584</v>
      </c>
      <c r="AE148" s="3066" t="s">
        <v>3560</v>
      </c>
      <c r="AF148" s="3067">
        <v>777</v>
      </c>
      <c r="AG148" s="3066">
        <v>0</v>
      </c>
      <c r="AH148" s="3066">
        <v>84</v>
      </c>
      <c r="AI148" s="3066">
        <v>0</v>
      </c>
      <c r="AJ148" s="3066">
        <v>54.15</v>
      </c>
      <c r="AK148" s="3066">
        <v>0</v>
      </c>
      <c r="AL148" s="3066">
        <v>915.15</v>
      </c>
      <c r="AM148" s="3066">
        <v>0</v>
      </c>
      <c r="AN148" s="3066" t="s">
        <v>3560</v>
      </c>
      <c r="AP148" s="3068">
        <f t="shared" si="2"/>
        <v>21</v>
      </c>
    </row>
    <row r="149" spans="2:42" ht="27" customHeight="1">
      <c r="B149" s="3066">
        <v>157</v>
      </c>
      <c r="C149" s="3066" t="s">
        <v>4002</v>
      </c>
      <c r="D149" s="3066" t="s">
        <v>3926</v>
      </c>
      <c r="E149" s="3066" t="s">
        <v>4156</v>
      </c>
      <c r="F149" s="3066" t="s">
        <v>3917</v>
      </c>
      <c r="G149" s="3066" t="s">
        <v>1373</v>
      </c>
      <c r="H149" s="3066" t="s">
        <v>3560</v>
      </c>
      <c r="I149" s="3066" t="s">
        <v>4005</v>
      </c>
      <c r="J149" s="3066" t="s">
        <v>4005</v>
      </c>
      <c r="K149" s="3066" t="s">
        <v>3560</v>
      </c>
      <c r="L149" s="3066" t="s">
        <v>4006</v>
      </c>
      <c r="M149" s="3066" t="s">
        <v>4157</v>
      </c>
      <c r="N149" s="3066">
        <v>37</v>
      </c>
      <c r="O149" s="3066" t="s">
        <v>4064</v>
      </c>
      <c r="P149" s="3066" t="s">
        <v>3566</v>
      </c>
      <c r="Q149" s="3066">
        <v>5</v>
      </c>
      <c r="R149" s="3066">
        <v>0</v>
      </c>
      <c r="S149" s="3066" t="s">
        <v>3577</v>
      </c>
      <c r="T149" s="3066">
        <v>2.7</v>
      </c>
      <c r="U149" s="3066">
        <v>100</v>
      </c>
      <c r="V149" s="3066" t="s">
        <v>3560</v>
      </c>
      <c r="W149" s="3066" t="s">
        <v>3568</v>
      </c>
      <c r="X149" s="3066">
        <v>0.27</v>
      </c>
      <c r="Y149" s="3066">
        <v>120</v>
      </c>
      <c r="Z149" s="3066" t="s">
        <v>3568</v>
      </c>
      <c r="AA149" s="3066" t="s">
        <v>3560</v>
      </c>
      <c r="AB149" s="3066" t="s">
        <v>3642</v>
      </c>
      <c r="AC149" s="3066" t="s">
        <v>3642</v>
      </c>
      <c r="AD149" s="3066" t="s">
        <v>3642</v>
      </c>
      <c r="AE149" s="3066" t="s">
        <v>3560</v>
      </c>
      <c r="AF149" s="3067">
        <v>100</v>
      </c>
      <c r="AG149" s="3066">
        <v>100</v>
      </c>
      <c r="AH149" s="3066">
        <v>10</v>
      </c>
      <c r="AI149" s="3066">
        <v>10</v>
      </c>
      <c r="AJ149" s="3066">
        <v>4.4800000000000004</v>
      </c>
      <c r="AK149" s="3066">
        <v>4.4800000000000004</v>
      </c>
      <c r="AL149" s="3066">
        <v>114.48</v>
      </c>
      <c r="AM149" s="3066">
        <v>114.48</v>
      </c>
      <c r="AN149" s="3066" t="s">
        <v>3560</v>
      </c>
      <c r="AP149" s="3068">
        <f t="shared" si="2"/>
        <v>2.7027027027027026</v>
      </c>
    </row>
    <row r="150" spans="2:42" ht="27" customHeight="1">
      <c r="B150" s="3066">
        <v>158</v>
      </c>
      <c r="C150" s="3066" t="s">
        <v>4002</v>
      </c>
      <c r="D150" s="3066" t="s">
        <v>3926</v>
      </c>
      <c r="E150" s="3066" t="s">
        <v>4158</v>
      </c>
      <c r="F150" s="3066" t="s">
        <v>3917</v>
      </c>
      <c r="G150" s="3066" t="s">
        <v>3560</v>
      </c>
      <c r="H150" s="3066" t="s">
        <v>3560</v>
      </c>
      <c r="I150" s="3066" t="s">
        <v>3560</v>
      </c>
      <c r="J150" s="3066" t="s">
        <v>3560</v>
      </c>
      <c r="K150" s="3066" t="s">
        <v>3560</v>
      </c>
      <c r="L150" s="3066" t="s">
        <v>3560</v>
      </c>
      <c r="M150" s="3066" t="s">
        <v>4159</v>
      </c>
      <c r="N150" s="3066">
        <v>37</v>
      </c>
      <c r="O150" s="3066" t="s">
        <v>3560</v>
      </c>
      <c r="P150" s="3066" t="s">
        <v>3560</v>
      </c>
      <c r="Q150" s="3066">
        <v>0</v>
      </c>
      <c r="R150" s="3066">
        <v>0</v>
      </c>
      <c r="S150" s="3066" t="s">
        <v>3577</v>
      </c>
      <c r="T150" s="3066">
        <v>0</v>
      </c>
      <c r="U150" s="3066">
        <v>0</v>
      </c>
      <c r="V150" s="3066" t="s">
        <v>3560</v>
      </c>
      <c r="W150" s="3066" t="s">
        <v>3568</v>
      </c>
      <c r="X150" s="3066">
        <v>0</v>
      </c>
      <c r="Y150" s="3066">
        <v>0</v>
      </c>
      <c r="Z150" s="3066" t="s">
        <v>3568</v>
      </c>
      <c r="AA150" s="3066" t="s">
        <v>3560</v>
      </c>
      <c r="AB150" s="3066" t="s">
        <v>3560</v>
      </c>
      <c r="AC150" s="3066" t="s">
        <v>3560</v>
      </c>
      <c r="AD150" s="3066" t="s">
        <v>3560</v>
      </c>
      <c r="AE150" s="3066" t="s">
        <v>3560</v>
      </c>
      <c r="AF150" s="3067">
        <v>0</v>
      </c>
      <c r="AG150" s="3066">
        <v>0</v>
      </c>
      <c r="AH150" s="3066">
        <v>0</v>
      </c>
      <c r="AI150" s="3066">
        <v>0</v>
      </c>
      <c r="AJ150" s="3066">
        <v>0</v>
      </c>
      <c r="AK150" s="3066">
        <v>0</v>
      </c>
      <c r="AL150" s="3066">
        <v>0</v>
      </c>
      <c r="AM150" s="3066">
        <v>0</v>
      </c>
      <c r="AN150" s="3066" t="s">
        <v>3560</v>
      </c>
      <c r="AP150" s="3068">
        <f t="shared" si="2"/>
        <v>0</v>
      </c>
    </row>
    <row r="151" spans="2:42" ht="27" customHeight="1">
      <c r="B151" s="3066">
        <v>159</v>
      </c>
      <c r="C151" s="3066" t="s">
        <v>4002</v>
      </c>
      <c r="D151" s="3066" t="s">
        <v>3926</v>
      </c>
      <c r="E151" s="3066" t="s">
        <v>4160</v>
      </c>
      <c r="F151" s="3066" t="s">
        <v>3917</v>
      </c>
      <c r="G151" s="3066" t="s">
        <v>1373</v>
      </c>
      <c r="H151" s="3066" t="s">
        <v>3560</v>
      </c>
      <c r="I151" s="3066" t="s">
        <v>4161</v>
      </c>
      <c r="J151" s="3066" t="s">
        <v>4161</v>
      </c>
      <c r="K151" s="3066" t="s">
        <v>3560</v>
      </c>
      <c r="L151" s="3066" t="s">
        <v>4162</v>
      </c>
      <c r="M151" s="3066" t="s">
        <v>4163</v>
      </c>
      <c r="N151" s="3066">
        <v>37</v>
      </c>
      <c r="O151" s="3066" t="s">
        <v>3619</v>
      </c>
      <c r="P151" s="3066" t="s">
        <v>3566</v>
      </c>
      <c r="Q151" s="3066">
        <v>1</v>
      </c>
      <c r="R151" s="3066">
        <v>3760</v>
      </c>
      <c r="S151" s="3066" t="s">
        <v>3567</v>
      </c>
      <c r="T151" s="3066">
        <v>21</v>
      </c>
      <c r="U151" s="3066">
        <v>777</v>
      </c>
      <c r="V151" s="3066" t="s">
        <v>3560</v>
      </c>
      <c r="W151" s="3066" t="s">
        <v>3568</v>
      </c>
      <c r="X151" s="3066">
        <v>2.27</v>
      </c>
      <c r="Y151" s="3066">
        <v>1008</v>
      </c>
      <c r="Z151" s="3066" t="s">
        <v>3568</v>
      </c>
      <c r="AA151" s="3066" t="s">
        <v>3560</v>
      </c>
      <c r="AB151" s="3066" t="s">
        <v>3584</v>
      </c>
      <c r="AC151" s="3066" t="s">
        <v>3584</v>
      </c>
      <c r="AD151" s="3066" t="s">
        <v>3584</v>
      </c>
      <c r="AE151" s="3066" t="s">
        <v>3560</v>
      </c>
      <c r="AF151" s="3067">
        <v>0</v>
      </c>
      <c r="AG151" s="3066">
        <v>0</v>
      </c>
      <c r="AH151" s="3066">
        <v>0</v>
      </c>
      <c r="AI151" s="3066">
        <v>0</v>
      </c>
      <c r="AJ151" s="3066">
        <v>17.77</v>
      </c>
      <c r="AK151" s="3066">
        <v>0</v>
      </c>
      <c r="AL151" s="3066">
        <v>17.77</v>
      </c>
      <c r="AM151" s="3066">
        <v>0</v>
      </c>
      <c r="AN151" s="3066" t="s">
        <v>3560</v>
      </c>
      <c r="AP151" s="3068">
        <f t="shared" si="2"/>
        <v>0</v>
      </c>
    </row>
    <row r="152" spans="2:42" ht="27" customHeight="1">
      <c r="B152" s="3066">
        <v>160</v>
      </c>
      <c r="C152" s="3066" t="s">
        <v>4002</v>
      </c>
      <c r="D152" s="3066" t="s">
        <v>3926</v>
      </c>
      <c r="E152" s="3066" t="s">
        <v>4164</v>
      </c>
      <c r="F152" s="3066" t="s">
        <v>3917</v>
      </c>
      <c r="G152" s="3066" t="s">
        <v>1373</v>
      </c>
      <c r="H152" s="3066" t="s">
        <v>3560</v>
      </c>
      <c r="I152" s="3066" t="s">
        <v>4165</v>
      </c>
      <c r="J152" s="3066" t="s">
        <v>4165</v>
      </c>
      <c r="K152" s="3066" t="s">
        <v>3560</v>
      </c>
      <c r="L152" s="3066" t="s">
        <v>4166</v>
      </c>
      <c r="M152" s="3066" t="s">
        <v>4167</v>
      </c>
      <c r="N152" s="3066">
        <v>37</v>
      </c>
      <c r="O152" s="3066" t="s">
        <v>3619</v>
      </c>
      <c r="P152" s="3066" t="s">
        <v>3566</v>
      </c>
      <c r="Q152" s="3066">
        <v>1</v>
      </c>
      <c r="R152" s="3066">
        <v>2250</v>
      </c>
      <c r="S152" s="3066" t="s">
        <v>3567</v>
      </c>
      <c r="T152" s="3066">
        <v>21</v>
      </c>
      <c r="U152" s="3066">
        <v>777</v>
      </c>
      <c r="V152" s="3066" t="s">
        <v>3560</v>
      </c>
      <c r="W152" s="3066" t="s">
        <v>3568</v>
      </c>
      <c r="X152" s="3066">
        <v>2.27</v>
      </c>
      <c r="Y152" s="3066">
        <v>1008</v>
      </c>
      <c r="Z152" s="3066" t="s">
        <v>3568</v>
      </c>
      <c r="AA152" s="3066" t="s">
        <v>3560</v>
      </c>
      <c r="AB152" s="3066" t="s">
        <v>3584</v>
      </c>
      <c r="AC152" s="3066" t="s">
        <v>3584</v>
      </c>
      <c r="AD152" s="3066" t="s">
        <v>3584</v>
      </c>
      <c r="AE152" s="3066" t="s">
        <v>3560</v>
      </c>
      <c r="AF152" s="3067">
        <v>777</v>
      </c>
      <c r="AG152" s="3066">
        <v>777</v>
      </c>
      <c r="AH152" s="3066">
        <v>84</v>
      </c>
      <c r="AI152" s="3066">
        <v>84</v>
      </c>
      <c r="AJ152" s="3066">
        <v>142.35</v>
      </c>
      <c r="AK152" s="3066">
        <v>142.35</v>
      </c>
      <c r="AL152" s="3066">
        <v>1003.35</v>
      </c>
      <c r="AM152" s="3066">
        <v>1003.35</v>
      </c>
      <c r="AN152" s="3066" t="s">
        <v>3560</v>
      </c>
      <c r="AP152" s="3068">
        <f t="shared" si="2"/>
        <v>21</v>
      </c>
    </row>
    <row r="153" spans="2:42" ht="27" customHeight="1">
      <c r="B153" s="3066">
        <v>161</v>
      </c>
      <c r="C153" s="3066" t="s">
        <v>4002</v>
      </c>
      <c r="D153" s="3066" t="s">
        <v>3926</v>
      </c>
      <c r="E153" s="3066" t="s">
        <v>4168</v>
      </c>
      <c r="F153" s="3066" t="s">
        <v>3917</v>
      </c>
      <c r="G153" s="3066" t="s">
        <v>1373</v>
      </c>
      <c r="H153" s="3066" t="s">
        <v>3560</v>
      </c>
      <c r="I153" s="3066" t="s">
        <v>4169</v>
      </c>
      <c r="J153" s="3066" t="s">
        <v>4169</v>
      </c>
      <c r="K153" s="3066" t="s">
        <v>3560</v>
      </c>
      <c r="L153" s="3066" t="s">
        <v>4170</v>
      </c>
      <c r="M153" s="3066" t="s">
        <v>4171</v>
      </c>
      <c r="N153" s="3066">
        <v>37</v>
      </c>
      <c r="O153" s="3066" t="s">
        <v>4064</v>
      </c>
      <c r="P153" s="3066" t="s">
        <v>3566</v>
      </c>
      <c r="Q153" s="3066">
        <v>5</v>
      </c>
      <c r="R153" s="3066">
        <v>0</v>
      </c>
      <c r="S153" s="3066" t="s">
        <v>3577</v>
      </c>
      <c r="T153" s="3066">
        <v>2.7</v>
      </c>
      <c r="U153" s="3066">
        <v>100</v>
      </c>
      <c r="V153" s="3066" t="s">
        <v>3560</v>
      </c>
      <c r="W153" s="3066" t="s">
        <v>3568</v>
      </c>
      <c r="X153" s="3066">
        <v>0.27</v>
      </c>
      <c r="Y153" s="3066">
        <v>120</v>
      </c>
      <c r="Z153" s="3066" t="s">
        <v>3568</v>
      </c>
      <c r="AA153" s="3066" t="s">
        <v>3560</v>
      </c>
      <c r="AB153" s="3066" t="s">
        <v>3642</v>
      </c>
      <c r="AC153" s="3066" t="s">
        <v>3642</v>
      </c>
      <c r="AD153" s="3066" t="s">
        <v>3642</v>
      </c>
      <c r="AE153" s="3066" t="s">
        <v>3560</v>
      </c>
      <c r="AF153" s="3067">
        <v>100</v>
      </c>
      <c r="AG153" s="3066">
        <v>100</v>
      </c>
      <c r="AH153" s="3066">
        <v>10</v>
      </c>
      <c r="AI153" s="3066">
        <v>10</v>
      </c>
      <c r="AJ153" s="3066">
        <v>42.37</v>
      </c>
      <c r="AK153" s="3066">
        <v>42.37</v>
      </c>
      <c r="AL153" s="3066">
        <v>152.37</v>
      </c>
      <c r="AM153" s="3066">
        <v>152.37</v>
      </c>
      <c r="AN153" s="3066" t="s">
        <v>3560</v>
      </c>
      <c r="AP153" s="3068">
        <f t="shared" si="2"/>
        <v>2.7027027027027026</v>
      </c>
    </row>
    <row r="154" spans="2:42" ht="27" customHeight="1">
      <c r="B154" s="3066">
        <v>162</v>
      </c>
      <c r="C154" s="3066" t="s">
        <v>4002</v>
      </c>
      <c r="D154" s="3066" t="s">
        <v>3926</v>
      </c>
      <c r="E154" s="3066" t="s">
        <v>4172</v>
      </c>
      <c r="F154" s="3066" t="s">
        <v>3917</v>
      </c>
      <c r="G154" s="3066" t="s">
        <v>3560</v>
      </c>
      <c r="H154" s="3066" t="s">
        <v>3560</v>
      </c>
      <c r="I154" s="3066" t="s">
        <v>3560</v>
      </c>
      <c r="J154" s="3066" t="s">
        <v>3560</v>
      </c>
      <c r="K154" s="3066" t="s">
        <v>3560</v>
      </c>
      <c r="L154" s="3066" t="s">
        <v>3560</v>
      </c>
      <c r="M154" s="3066" t="s">
        <v>4173</v>
      </c>
      <c r="N154" s="3066">
        <v>43</v>
      </c>
      <c r="O154" s="3066" t="s">
        <v>3560</v>
      </c>
      <c r="P154" s="3066" t="s">
        <v>3560</v>
      </c>
      <c r="Q154" s="3066">
        <v>0</v>
      </c>
      <c r="R154" s="3066">
        <v>0</v>
      </c>
      <c r="S154" s="3066" t="s">
        <v>3577</v>
      </c>
      <c r="T154" s="3066">
        <v>0</v>
      </c>
      <c r="U154" s="3066">
        <v>0</v>
      </c>
      <c r="V154" s="3066" t="s">
        <v>3560</v>
      </c>
      <c r="W154" s="3066" t="s">
        <v>3568</v>
      </c>
      <c r="X154" s="3066">
        <v>0</v>
      </c>
      <c r="Y154" s="3066">
        <v>0</v>
      </c>
      <c r="Z154" s="3066" t="s">
        <v>3568</v>
      </c>
      <c r="AA154" s="3066" t="s">
        <v>3560</v>
      </c>
      <c r="AB154" s="3066" t="s">
        <v>3560</v>
      </c>
      <c r="AC154" s="3066" t="s">
        <v>3560</v>
      </c>
      <c r="AD154" s="3066" t="s">
        <v>3560</v>
      </c>
      <c r="AE154" s="3066" t="s">
        <v>3560</v>
      </c>
      <c r="AF154" s="3067">
        <v>0</v>
      </c>
      <c r="AG154" s="3066">
        <v>0</v>
      </c>
      <c r="AH154" s="3066">
        <v>0</v>
      </c>
      <c r="AI154" s="3066">
        <v>0</v>
      </c>
      <c r="AJ154" s="3066">
        <v>0</v>
      </c>
      <c r="AK154" s="3066">
        <v>0</v>
      </c>
      <c r="AL154" s="3066">
        <v>0</v>
      </c>
      <c r="AM154" s="3066">
        <v>0</v>
      </c>
      <c r="AN154" s="3066" t="s">
        <v>3560</v>
      </c>
      <c r="AP154" s="3068">
        <f t="shared" si="2"/>
        <v>0</v>
      </c>
    </row>
    <row r="155" spans="2:42" ht="27" customHeight="1">
      <c r="B155" s="3066">
        <v>163</v>
      </c>
      <c r="C155" s="3066" t="s">
        <v>4002</v>
      </c>
      <c r="D155" s="3066" t="s">
        <v>3972</v>
      </c>
      <c r="E155" s="3066" t="s">
        <v>4174</v>
      </c>
      <c r="F155" s="3066" t="s">
        <v>3917</v>
      </c>
      <c r="G155" s="3066" t="s">
        <v>1373</v>
      </c>
      <c r="H155" s="3066" t="s">
        <v>3560</v>
      </c>
      <c r="I155" s="3066" t="s">
        <v>3922</v>
      </c>
      <c r="J155" s="3066" t="s">
        <v>3923</v>
      </c>
      <c r="K155" s="3066" t="s">
        <v>3560</v>
      </c>
      <c r="L155" s="3066" t="s">
        <v>3924</v>
      </c>
      <c r="M155" s="3066" t="s">
        <v>4175</v>
      </c>
      <c r="N155" s="3066">
        <v>37</v>
      </c>
      <c r="O155" s="3066" t="s">
        <v>3583</v>
      </c>
      <c r="P155" s="3066" t="s">
        <v>3566</v>
      </c>
      <c r="Q155" s="3066">
        <v>0</v>
      </c>
      <c r="R155" s="3066">
        <v>2442</v>
      </c>
      <c r="S155" s="3066" t="s">
        <v>3567</v>
      </c>
      <c r="T155" s="3066">
        <v>20</v>
      </c>
      <c r="U155" s="3066">
        <v>740</v>
      </c>
      <c r="V155" s="3066" t="s">
        <v>3560</v>
      </c>
      <c r="W155" s="3066" t="s">
        <v>3568</v>
      </c>
      <c r="X155" s="3066">
        <v>2</v>
      </c>
      <c r="Y155" s="3066">
        <v>888</v>
      </c>
      <c r="Z155" s="3066" t="s">
        <v>3568</v>
      </c>
      <c r="AA155" s="3066" t="s">
        <v>3560</v>
      </c>
      <c r="AB155" s="3066" t="s">
        <v>3584</v>
      </c>
      <c r="AC155" s="3066" t="s">
        <v>3584</v>
      </c>
      <c r="AD155" s="3066" t="s">
        <v>3584</v>
      </c>
      <c r="AE155" s="3066" t="s">
        <v>3560</v>
      </c>
      <c r="AF155" s="3067">
        <v>740</v>
      </c>
      <c r="AG155" s="3066">
        <v>0</v>
      </c>
      <c r="AH155" s="3066">
        <v>74</v>
      </c>
      <c r="AI155" s="3066">
        <v>0</v>
      </c>
      <c r="AJ155" s="3066">
        <v>68.38</v>
      </c>
      <c r="AK155" s="3066">
        <v>0</v>
      </c>
      <c r="AL155" s="3066">
        <v>882.38</v>
      </c>
      <c r="AM155" s="3066">
        <v>0</v>
      </c>
      <c r="AN155" s="3066" t="s">
        <v>3560</v>
      </c>
      <c r="AP155" s="3068">
        <f t="shared" si="2"/>
        <v>20</v>
      </c>
    </row>
    <row r="156" spans="2:42" ht="27" customHeight="1">
      <c r="B156" s="3066">
        <v>164</v>
      </c>
      <c r="C156" s="3066" t="s">
        <v>4002</v>
      </c>
      <c r="D156" s="3066" t="s">
        <v>3972</v>
      </c>
      <c r="E156" s="3066" t="s">
        <v>4176</v>
      </c>
      <c r="F156" s="3066" t="s">
        <v>3917</v>
      </c>
      <c r="G156" s="3066" t="s">
        <v>3560</v>
      </c>
      <c r="H156" s="3066" t="s">
        <v>3560</v>
      </c>
      <c r="I156" s="3066" t="s">
        <v>4177</v>
      </c>
      <c r="J156" s="3066" t="s">
        <v>4177</v>
      </c>
      <c r="K156" s="3066" t="s">
        <v>3560</v>
      </c>
      <c r="L156" s="3066" t="s">
        <v>4178</v>
      </c>
      <c r="M156" s="3066" t="s">
        <v>4179</v>
      </c>
      <c r="N156" s="3066">
        <v>37</v>
      </c>
      <c r="O156" s="3066" t="s">
        <v>4147</v>
      </c>
      <c r="P156" s="3066" t="s">
        <v>3566</v>
      </c>
      <c r="Q156" s="3066">
        <v>2</v>
      </c>
      <c r="R156" s="3066">
        <v>0</v>
      </c>
      <c r="S156" s="3066" t="s">
        <v>3577</v>
      </c>
      <c r="T156" s="3066">
        <v>2.7</v>
      </c>
      <c r="U156" s="3066">
        <v>100</v>
      </c>
      <c r="V156" s="3066" t="s">
        <v>3560</v>
      </c>
      <c r="W156" s="3066" t="s">
        <v>3568</v>
      </c>
      <c r="X156" s="3066">
        <v>0.27</v>
      </c>
      <c r="Y156" s="3066">
        <v>120</v>
      </c>
      <c r="Z156" s="3066" t="s">
        <v>3568</v>
      </c>
      <c r="AA156" s="3066" t="s">
        <v>3560</v>
      </c>
      <c r="AB156" s="3066" t="s">
        <v>3677</v>
      </c>
      <c r="AC156" s="3066" t="s">
        <v>3677</v>
      </c>
      <c r="AD156" s="3066" t="s">
        <v>3677</v>
      </c>
      <c r="AE156" s="3066" t="s">
        <v>3560</v>
      </c>
      <c r="AF156" s="3067">
        <v>100</v>
      </c>
      <c r="AG156" s="3066">
        <v>100</v>
      </c>
      <c r="AH156" s="3066">
        <v>10</v>
      </c>
      <c r="AI156" s="3066">
        <v>10</v>
      </c>
      <c r="AJ156" s="3066">
        <v>49.26</v>
      </c>
      <c r="AK156" s="3066">
        <v>49.26</v>
      </c>
      <c r="AL156" s="3066">
        <v>159.26</v>
      </c>
      <c r="AM156" s="3066">
        <v>159.26</v>
      </c>
      <c r="AN156" s="3066" t="s">
        <v>3560</v>
      </c>
      <c r="AP156" s="3068">
        <f t="shared" si="2"/>
        <v>2.7027027027027026</v>
      </c>
    </row>
    <row r="157" spans="2:42" ht="27" customHeight="1">
      <c r="B157" s="3066">
        <v>165</v>
      </c>
      <c r="C157" s="3066" t="s">
        <v>4002</v>
      </c>
      <c r="D157" s="3066" t="s">
        <v>3972</v>
      </c>
      <c r="E157" s="3066" t="s">
        <v>4180</v>
      </c>
      <c r="F157" s="3066" t="s">
        <v>3917</v>
      </c>
      <c r="G157" s="3066" t="s">
        <v>1373</v>
      </c>
      <c r="H157" s="3066" t="s">
        <v>3560</v>
      </c>
      <c r="I157" s="3066" t="s">
        <v>4181</v>
      </c>
      <c r="J157" s="3066" t="s">
        <v>4181</v>
      </c>
      <c r="K157" s="3066" t="s">
        <v>3560</v>
      </c>
      <c r="L157" s="3066" t="s">
        <v>4127</v>
      </c>
      <c r="M157" s="3066" t="s">
        <v>4182</v>
      </c>
      <c r="N157" s="3066">
        <v>37</v>
      </c>
      <c r="O157" s="3066" t="s">
        <v>4183</v>
      </c>
      <c r="P157" s="3066" t="s">
        <v>3566</v>
      </c>
      <c r="Q157" s="3066">
        <v>4</v>
      </c>
      <c r="R157" s="3066">
        <v>2220</v>
      </c>
      <c r="S157" s="3066" t="s">
        <v>3567</v>
      </c>
      <c r="T157" s="3066">
        <v>5.41</v>
      </c>
      <c r="U157" s="3066">
        <v>200</v>
      </c>
      <c r="V157" s="3066" t="s">
        <v>3560</v>
      </c>
      <c r="W157" s="3066" t="s">
        <v>3568</v>
      </c>
      <c r="X157" s="3066">
        <v>0.27</v>
      </c>
      <c r="Y157" s="3066">
        <v>120</v>
      </c>
      <c r="Z157" s="3066" t="s">
        <v>3568</v>
      </c>
      <c r="AA157" s="3066" t="s">
        <v>3560</v>
      </c>
      <c r="AB157" s="3066" t="s">
        <v>4087</v>
      </c>
      <c r="AC157" s="3066" t="s">
        <v>4087</v>
      </c>
      <c r="AD157" s="3066" t="s">
        <v>4087</v>
      </c>
      <c r="AE157" s="3066" t="s">
        <v>3560</v>
      </c>
      <c r="AF157" s="3067">
        <v>200</v>
      </c>
      <c r="AG157" s="3066">
        <v>200</v>
      </c>
      <c r="AH157" s="3066">
        <v>10</v>
      </c>
      <c r="AI157" s="3066">
        <v>10</v>
      </c>
      <c r="AJ157" s="3066">
        <v>23.05</v>
      </c>
      <c r="AK157" s="3066">
        <v>23.05</v>
      </c>
      <c r="AL157" s="3066">
        <v>233.05</v>
      </c>
      <c r="AM157" s="3066">
        <v>233.05</v>
      </c>
      <c r="AN157" s="3066" t="s">
        <v>3560</v>
      </c>
      <c r="AP157" s="3068">
        <f t="shared" si="2"/>
        <v>5.4054054054054053</v>
      </c>
    </row>
    <row r="158" spans="2:42" ht="27" customHeight="1">
      <c r="B158" s="3066">
        <v>166</v>
      </c>
      <c r="C158" s="3066" t="s">
        <v>4002</v>
      </c>
      <c r="D158" s="3066" t="s">
        <v>3972</v>
      </c>
      <c r="E158" s="3066" t="s">
        <v>4184</v>
      </c>
      <c r="F158" s="3066" t="s">
        <v>3917</v>
      </c>
      <c r="G158" s="3066" t="s">
        <v>3560</v>
      </c>
      <c r="H158" s="3066" t="s">
        <v>3560</v>
      </c>
      <c r="I158" s="3066" t="s">
        <v>3560</v>
      </c>
      <c r="J158" s="3066" t="s">
        <v>3560</v>
      </c>
      <c r="K158" s="3066" t="s">
        <v>3560</v>
      </c>
      <c r="L158" s="3066" t="s">
        <v>3560</v>
      </c>
      <c r="M158" s="3066" t="s">
        <v>4185</v>
      </c>
      <c r="N158" s="3066">
        <v>37</v>
      </c>
      <c r="O158" s="3066" t="s">
        <v>3560</v>
      </c>
      <c r="P158" s="3066" t="s">
        <v>3560</v>
      </c>
      <c r="Q158" s="3066">
        <v>0</v>
      </c>
      <c r="R158" s="3066">
        <v>0</v>
      </c>
      <c r="S158" s="3066" t="s">
        <v>3577</v>
      </c>
      <c r="T158" s="3066">
        <v>0</v>
      </c>
      <c r="U158" s="3066">
        <v>0</v>
      </c>
      <c r="V158" s="3066" t="s">
        <v>3560</v>
      </c>
      <c r="W158" s="3066" t="s">
        <v>3568</v>
      </c>
      <c r="X158" s="3066">
        <v>0</v>
      </c>
      <c r="Y158" s="3066">
        <v>0</v>
      </c>
      <c r="Z158" s="3066" t="s">
        <v>3568</v>
      </c>
      <c r="AA158" s="3066" t="s">
        <v>3560</v>
      </c>
      <c r="AB158" s="3066" t="s">
        <v>3560</v>
      </c>
      <c r="AC158" s="3066" t="s">
        <v>3560</v>
      </c>
      <c r="AD158" s="3066" t="s">
        <v>3560</v>
      </c>
      <c r="AE158" s="3066" t="s">
        <v>3560</v>
      </c>
      <c r="AF158" s="3067">
        <v>0</v>
      </c>
      <c r="AG158" s="3066">
        <v>0</v>
      </c>
      <c r="AH158" s="3066">
        <v>0</v>
      </c>
      <c r="AI158" s="3066">
        <v>0</v>
      </c>
      <c r="AJ158" s="3066">
        <v>0</v>
      </c>
      <c r="AK158" s="3066">
        <v>0</v>
      </c>
      <c r="AL158" s="3066">
        <v>0</v>
      </c>
      <c r="AM158" s="3066">
        <v>0</v>
      </c>
      <c r="AN158" s="3066" t="s">
        <v>3560</v>
      </c>
      <c r="AP158" s="3068">
        <f t="shared" si="2"/>
        <v>0</v>
      </c>
    </row>
    <row r="159" spans="2:42" ht="27" customHeight="1">
      <c r="B159" s="3066">
        <v>167</v>
      </c>
      <c r="C159" s="3066" t="s">
        <v>4002</v>
      </c>
      <c r="D159" s="3066" t="s">
        <v>3972</v>
      </c>
      <c r="E159" s="3066" t="s">
        <v>4186</v>
      </c>
      <c r="F159" s="3066" t="s">
        <v>3917</v>
      </c>
      <c r="G159" s="3066" t="s">
        <v>3560</v>
      </c>
      <c r="H159" s="3066" t="s">
        <v>3560</v>
      </c>
      <c r="I159" s="3066" t="s">
        <v>3560</v>
      </c>
      <c r="J159" s="3066" t="s">
        <v>3560</v>
      </c>
      <c r="K159" s="3066" t="s">
        <v>3560</v>
      </c>
      <c r="L159" s="3066" t="s">
        <v>3560</v>
      </c>
      <c r="M159" s="3066" t="s">
        <v>4187</v>
      </c>
      <c r="N159" s="3066">
        <v>37</v>
      </c>
      <c r="O159" s="3066" t="s">
        <v>3560</v>
      </c>
      <c r="P159" s="3066" t="s">
        <v>3560</v>
      </c>
      <c r="Q159" s="3066">
        <v>0</v>
      </c>
      <c r="R159" s="3066">
        <v>0</v>
      </c>
      <c r="S159" s="3066" t="s">
        <v>3577</v>
      </c>
      <c r="T159" s="3066">
        <v>0</v>
      </c>
      <c r="U159" s="3066">
        <v>0</v>
      </c>
      <c r="V159" s="3066" t="s">
        <v>3560</v>
      </c>
      <c r="W159" s="3066" t="s">
        <v>3568</v>
      </c>
      <c r="X159" s="3066">
        <v>0</v>
      </c>
      <c r="Y159" s="3066">
        <v>0</v>
      </c>
      <c r="Z159" s="3066" t="s">
        <v>3568</v>
      </c>
      <c r="AA159" s="3066" t="s">
        <v>3560</v>
      </c>
      <c r="AB159" s="3066" t="s">
        <v>3560</v>
      </c>
      <c r="AC159" s="3066" t="s">
        <v>3560</v>
      </c>
      <c r="AD159" s="3066" t="s">
        <v>3560</v>
      </c>
      <c r="AE159" s="3066" t="s">
        <v>3560</v>
      </c>
      <c r="AF159" s="3067">
        <v>0</v>
      </c>
      <c r="AG159" s="3066">
        <v>0</v>
      </c>
      <c r="AH159" s="3066">
        <v>0</v>
      </c>
      <c r="AI159" s="3066">
        <v>0</v>
      </c>
      <c r="AJ159" s="3066">
        <v>0</v>
      </c>
      <c r="AK159" s="3066">
        <v>0</v>
      </c>
      <c r="AL159" s="3066">
        <v>0</v>
      </c>
      <c r="AM159" s="3066">
        <v>0</v>
      </c>
      <c r="AN159" s="3066" t="s">
        <v>3560</v>
      </c>
      <c r="AP159" s="3068">
        <f t="shared" si="2"/>
        <v>0</v>
      </c>
    </row>
    <row r="160" spans="2:42" ht="27" customHeight="1">
      <c r="B160" s="3066">
        <v>168</v>
      </c>
      <c r="C160" s="3066" t="s">
        <v>4002</v>
      </c>
      <c r="D160" s="3066" t="s">
        <v>3972</v>
      </c>
      <c r="E160" s="3066" t="s">
        <v>4188</v>
      </c>
      <c r="F160" s="3066" t="s">
        <v>3917</v>
      </c>
      <c r="G160" s="3066" t="s">
        <v>3560</v>
      </c>
      <c r="H160" s="3066" t="s">
        <v>3560</v>
      </c>
      <c r="I160" s="3066" t="s">
        <v>3560</v>
      </c>
      <c r="J160" s="3066" t="s">
        <v>3560</v>
      </c>
      <c r="K160" s="3066" t="s">
        <v>3560</v>
      </c>
      <c r="L160" s="3066" t="s">
        <v>3560</v>
      </c>
      <c r="M160" s="3066" t="s">
        <v>4189</v>
      </c>
      <c r="N160" s="3066">
        <v>37</v>
      </c>
      <c r="O160" s="3066" t="s">
        <v>3560</v>
      </c>
      <c r="P160" s="3066" t="s">
        <v>3560</v>
      </c>
      <c r="Q160" s="3066">
        <v>0</v>
      </c>
      <c r="R160" s="3066">
        <v>0</v>
      </c>
      <c r="S160" s="3066" t="s">
        <v>3577</v>
      </c>
      <c r="T160" s="3066">
        <v>0</v>
      </c>
      <c r="U160" s="3066">
        <v>0</v>
      </c>
      <c r="V160" s="3066" t="s">
        <v>3560</v>
      </c>
      <c r="W160" s="3066" t="s">
        <v>3568</v>
      </c>
      <c r="X160" s="3066">
        <v>0</v>
      </c>
      <c r="Y160" s="3066">
        <v>0</v>
      </c>
      <c r="Z160" s="3066" t="s">
        <v>3568</v>
      </c>
      <c r="AA160" s="3066" t="s">
        <v>3560</v>
      </c>
      <c r="AB160" s="3066" t="s">
        <v>3560</v>
      </c>
      <c r="AC160" s="3066" t="s">
        <v>3560</v>
      </c>
      <c r="AD160" s="3066" t="s">
        <v>3560</v>
      </c>
      <c r="AE160" s="3066" t="s">
        <v>3560</v>
      </c>
      <c r="AF160" s="3067">
        <v>0</v>
      </c>
      <c r="AG160" s="3066">
        <v>0</v>
      </c>
      <c r="AH160" s="3066">
        <v>0</v>
      </c>
      <c r="AI160" s="3066">
        <v>0</v>
      </c>
      <c r="AJ160" s="3066">
        <v>0</v>
      </c>
      <c r="AK160" s="3066">
        <v>0</v>
      </c>
      <c r="AL160" s="3066">
        <v>0</v>
      </c>
      <c r="AM160" s="3066">
        <v>0</v>
      </c>
      <c r="AN160" s="3066" t="s">
        <v>3560</v>
      </c>
      <c r="AP160" s="3068">
        <f t="shared" si="2"/>
        <v>0</v>
      </c>
    </row>
    <row r="161" spans="2:42" ht="27" customHeight="1">
      <c r="B161" s="3066">
        <v>169</v>
      </c>
      <c r="C161" s="3066" t="s">
        <v>4002</v>
      </c>
      <c r="D161" s="3066" t="s">
        <v>3972</v>
      </c>
      <c r="E161" s="3066" t="s">
        <v>4190</v>
      </c>
      <c r="F161" s="3066" t="s">
        <v>3917</v>
      </c>
      <c r="G161" s="3066" t="s">
        <v>1373</v>
      </c>
      <c r="H161" s="3066" t="s">
        <v>3560</v>
      </c>
      <c r="I161" s="3066" t="s">
        <v>4191</v>
      </c>
      <c r="J161" s="3066" t="s">
        <v>4191</v>
      </c>
      <c r="K161" s="3066" t="s">
        <v>3560</v>
      </c>
      <c r="L161" s="3066" t="s">
        <v>4192</v>
      </c>
      <c r="M161" s="3066" t="s">
        <v>4193</v>
      </c>
      <c r="N161" s="3066">
        <v>37</v>
      </c>
      <c r="O161" s="3066" t="s">
        <v>4147</v>
      </c>
      <c r="P161" s="3066" t="s">
        <v>3566</v>
      </c>
      <c r="Q161" s="3066">
        <v>2</v>
      </c>
      <c r="R161" s="3066">
        <v>0</v>
      </c>
      <c r="S161" s="3066" t="s">
        <v>3577</v>
      </c>
      <c r="T161" s="3066">
        <v>5.41</v>
      </c>
      <c r="U161" s="3066">
        <v>200</v>
      </c>
      <c r="V161" s="3066" t="s">
        <v>3560</v>
      </c>
      <c r="W161" s="3066" t="s">
        <v>3568</v>
      </c>
      <c r="X161" s="3066">
        <v>0.27</v>
      </c>
      <c r="Y161" s="3066">
        <v>120</v>
      </c>
      <c r="Z161" s="3066" t="s">
        <v>3568</v>
      </c>
      <c r="AA161" s="3066" t="s">
        <v>3560</v>
      </c>
      <c r="AB161" s="3066" t="s">
        <v>3677</v>
      </c>
      <c r="AC161" s="3066" t="s">
        <v>3677</v>
      </c>
      <c r="AD161" s="3066" t="s">
        <v>3677</v>
      </c>
      <c r="AE161" s="3066" t="s">
        <v>3560</v>
      </c>
      <c r="AF161" s="3067">
        <v>200</v>
      </c>
      <c r="AG161" s="3066">
        <v>200</v>
      </c>
      <c r="AH161" s="3066">
        <v>10</v>
      </c>
      <c r="AI161" s="3066">
        <v>10</v>
      </c>
      <c r="AJ161" s="3066">
        <v>17.329999999999998</v>
      </c>
      <c r="AK161" s="3066">
        <v>17.329999999999998</v>
      </c>
      <c r="AL161" s="3066">
        <v>227.33</v>
      </c>
      <c r="AM161" s="3066">
        <v>227.33</v>
      </c>
      <c r="AN161" s="3066" t="s">
        <v>3560</v>
      </c>
      <c r="AP161" s="3068">
        <f t="shared" si="2"/>
        <v>5.4054054054054053</v>
      </c>
    </row>
    <row r="162" spans="2:42" ht="27" customHeight="1">
      <c r="B162" s="3066">
        <v>170</v>
      </c>
      <c r="C162" s="3066" t="s">
        <v>4002</v>
      </c>
      <c r="D162" s="3066" t="s">
        <v>3972</v>
      </c>
      <c r="E162" s="3066" t="s">
        <v>4194</v>
      </c>
      <c r="F162" s="3066" t="s">
        <v>3917</v>
      </c>
      <c r="G162" s="3066" t="s">
        <v>1373</v>
      </c>
      <c r="H162" s="3066" t="s">
        <v>3560</v>
      </c>
      <c r="I162" s="3066" t="s">
        <v>4195</v>
      </c>
      <c r="J162" s="3066" t="s">
        <v>4196</v>
      </c>
      <c r="K162" s="3066" t="s">
        <v>3560</v>
      </c>
      <c r="L162" s="3066" t="s">
        <v>4197</v>
      </c>
      <c r="M162" s="3066" t="s">
        <v>4198</v>
      </c>
      <c r="N162" s="3066">
        <v>37</v>
      </c>
      <c r="O162" s="3066" t="s">
        <v>3619</v>
      </c>
      <c r="P162" s="3066" t="s">
        <v>3566</v>
      </c>
      <c r="Q162" s="3066">
        <v>1</v>
      </c>
      <c r="R162" s="3066">
        <v>4120</v>
      </c>
      <c r="S162" s="3066" t="s">
        <v>3567</v>
      </c>
      <c r="T162" s="3066">
        <v>21</v>
      </c>
      <c r="U162" s="3066">
        <v>777</v>
      </c>
      <c r="V162" s="3066" t="s">
        <v>3560</v>
      </c>
      <c r="W162" s="3066" t="s">
        <v>3568</v>
      </c>
      <c r="X162" s="3066">
        <v>2.27</v>
      </c>
      <c r="Y162" s="3066">
        <v>1008</v>
      </c>
      <c r="Z162" s="3066" t="s">
        <v>3568</v>
      </c>
      <c r="AA162" s="3066" t="s">
        <v>3560</v>
      </c>
      <c r="AB162" s="3066" t="s">
        <v>3584</v>
      </c>
      <c r="AC162" s="3066" t="s">
        <v>3584</v>
      </c>
      <c r="AD162" s="3066" t="s">
        <v>3584</v>
      </c>
      <c r="AE162" s="3066" t="s">
        <v>3560</v>
      </c>
      <c r="AF162" s="3067">
        <v>777</v>
      </c>
      <c r="AG162" s="3066">
        <v>777</v>
      </c>
      <c r="AH162" s="3066">
        <v>84</v>
      </c>
      <c r="AI162" s="3066">
        <v>84</v>
      </c>
      <c r="AJ162" s="3066">
        <v>162.16</v>
      </c>
      <c r="AK162" s="3066">
        <v>162.16</v>
      </c>
      <c r="AL162" s="3066">
        <v>1023.16</v>
      </c>
      <c r="AM162" s="3066">
        <v>1023.16</v>
      </c>
      <c r="AN162" s="3066" t="s">
        <v>3560</v>
      </c>
      <c r="AP162" s="3068">
        <f t="shared" si="2"/>
        <v>21</v>
      </c>
    </row>
    <row r="163" spans="2:42" ht="27" customHeight="1">
      <c r="B163" s="3066">
        <v>171</v>
      </c>
      <c r="C163" s="3066" t="s">
        <v>4002</v>
      </c>
      <c r="D163" s="3066" t="s">
        <v>3972</v>
      </c>
      <c r="E163" s="3066" t="s">
        <v>4199</v>
      </c>
      <c r="F163" s="3066" t="s">
        <v>3917</v>
      </c>
      <c r="G163" s="3066" t="s">
        <v>3560</v>
      </c>
      <c r="H163" s="3066" t="s">
        <v>3560</v>
      </c>
      <c r="I163" s="3066" t="s">
        <v>3560</v>
      </c>
      <c r="J163" s="3066" t="s">
        <v>3560</v>
      </c>
      <c r="K163" s="3066" t="s">
        <v>3560</v>
      </c>
      <c r="L163" s="3066" t="s">
        <v>3560</v>
      </c>
      <c r="M163" s="3066" t="s">
        <v>4200</v>
      </c>
      <c r="N163" s="3066">
        <v>37</v>
      </c>
      <c r="O163" s="3066" t="s">
        <v>3560</v>
      </c>
      <c r="P163" s="3066" t="s">
        <v>3560</v>
      </c>
      <c r="Q163" s="3066">
        <v>0</v>
      </c>
      <c r="R163" s="3066">
        <v>0</v>
      </c>
      <c r="S163" s="3066" t="s">
        <v>3577</v>
      </c>
      <c r="T163" s="3066">
        <v>0</v>
      </c>
      <c r="U163" s="3066">
        <v>0</v>
      </c>
      <c r="V163" s="3066" t="s">
        <v>3560</v>
      </c>
      <c r="W163" s="3066" t="s">
        <v>3568</v>
      </c>
      <c r="X163" s="3066">
        <v>0</v>
      </c>
      <c r="Y163" s="3066">
        <v>0</v>
      </c>
      <c r="Z163" s="3066" t="s">
        <v>3568</v>
      </c>
      <c r="AA163" s="3066" t="s">
        <v>3560</v>
      </c>
      <c r="AB163" s="3066" t="s">
        <v>3560</v>
      </c>
      <c r="AC163" s="3066" t="s">
        <v>3560</v>
      </c>
      <c r="AD163" s="3066" t="s">
        <v>3560</v>
      </c>
      <c r="AE163" s="3066" t="s">
        <v>3560</v>
      </c>
      <c r="AF163" s="3067">
        <v>0</v>
      </c>
      <c r="AG163" s="3066">
        <v>0</v>
      </c>
      <c r="AH163" s="3066">
        <v>0</v>
      </c>
      <c r="AI163" s="3066">
        <v>0</v>
      </c>
      <c r="AJ163" s="3066">
        <v>0</v>
      </c>
      <c r="AK163" s="3066">
        <v>0</v>
      </c>
      <c r="AL163" s="3066">
        <v>0</v>
      </c>
      <c r="AM163" s="3066">
        <v>0</v>
      </c>
      <c r="AN163" s="3066" t="s">
        <v>3560</v>
      </c>
      <c r="AP163" s="3068">
        <f t="shared" si="2"/>
        <v>0</v>
      </c>
    </row>
    <row r="164" spans="2:42" ht="27" customHeight="1">
      <c r="B164" s="3066">
        <v>172</v>
      </c>
      <c r="C164" s="3066" t="s">
        <v>4002</v>
      </c>
      <c r="D164" s="3066" t="s">
        <v>3972</v>
      </c>
      <c r="E164" s="3066" t="s">
        <v>4201</v>
      </c>
      <c r="F164" s="3066" t="s">
        <v>3917</v>
      </c>
      <c r="G164" s="3066" t="s">
        <v>3560</v>
      </c>
      <c r="H164" s="3066" t="s">
        <v>3560</v>
      </c>
      <c r="I164" s="3066" t="s">
        <v>3560</v>
      </c>
      <c r="J164" s="3066" t="s">
        <v>3560</v>
      </c>
      <c r="K164" s="3066" t="s">
        <v>3560</v>
      </c>
      <c r="L164" s="3066" t="s">
        <v>3560</v>
      </c>
      <c r="M164" s="3066" t="s">
        <v>4202</v>
      </c>
      <c r="N164" s="3066">
        <v>37</v>
      </c>
      <c r="O164" s="3066" t="s">
        <v>3560</v>
      </c>
      <c r="P164" s="3066" t="s">
        <v>3560</v>
      </c>
      <c r="Q164" s="3066">
        <v>0</v>
      </c>
      <c r="R164" s="3066">
        <v>0</v>
      </c>
      <c r="S164" s="3066" t="s">
        <v>3577</v>
      </c>
      <c r="T164" s="3066">
        <v>0</v>
      </c>
      <c r="U164" s="3066">
        <v>0</v>
      </c>
      <c r="V164" s="3066" t="s">
        <v>3560</v>
      </c>
      <c r="W164" s="3066" t="s">
        <v>3568</v>
      </c>
      <c r="X164" s="3066">
        <v>0</v>
      </c>
      <c r="Y164" s="3066">
        <v>0</v>
      </c>
      <c r="Z164" s="3066" t="s">
        <v>3568</v>
      </c>
      <c r="AA164" s="3066" t="s">
        <v>3560</v>
      </c>
      <c r="AB164" s="3066" t="s">
        <v>3560</v>
      </c>
      <c r="AC164" s="3066" t="s">
        <v>3560</v>
      </c>
      <c r="AD164" s="3066" t="s">
        <v>3560</v>
      </c>
      <c r="AE164" s="3066" t="s">
        <v>3560</v>
      </c>
      <c r="AF164" s="3067">
        <v>0</v>
      </c>
      <c r="AG164" s="3066">
        <v>0</v>
      </c>
      <c r="AH164" s="3066">
        <v>0</v>
      </c>
      <c r="AI164" s="3066">
        <v>0</v>
      </c>
      <c r="AJ164" s="3066">
        <v>0</v>
      </c>
      <c r="AK164" s="3066">
        <v>0</v>
      </c>
      <c r="AL164" s="3066">
        <v>0</v>
      </c>
      <c r="AM164" s="3066">
        <v>0</v>
      </c>
      <c r="AN164" s="3066" t="s">
        <v>3560</v>
      </c>
      <c r="AP164" s="3068">
        <f t="shared" si="2"/>
        <v>0</v>
      </c>
    </row>
    <row r="165" spans="2:42" ht="27" customHeight="1">
      <c r="B165" s="3066">
        <v>173</v>
      </c>
      <c r="C165" s="3066" t="s">
        <v>4002</v>
      </c>
      <c r="D165" s="3066" t="s">
        <v>3972</v>
      </c>
      <c r="E165" s="3066" t="s">
        <v>4203</v>
      </c>
      <c r="F165" s="3066" t="s">
        <v>3917</v>
      </c>
      <c r="G165" s="3066" t="s">
        <v>1373</v>
      </c>
      <c r="H165" s="3066" t="s">
        <v>3560</v>
      </c>
      <c r="I165" s="3066" t="s">
        <v>4204</v>
      </c>
      <c r="J165" s="3066" t="s">
        <v>4204</v>
      </c>
      <c r="K165" s="3066" t="s">
        <v>3560</v>
      </c>
      <c r="L165" s="3066" t="s">
        <v>4205</v>
      </c>
      <c r="M165" s="3066" t="s">
        <v>4206</v>
      </c>
      <c r="N165" s="3066">
        <v>37</v>
      </c>
      <c r="O165" s="3066" t="s">
        <v>4147</v>
      </c>
      <c r="P165" s="3066" t="s">
        <v>3566</v>
      </c>
      <c r="Q165" s="3066">
        <v>2</v>
      </c>
      <c r="R165" s="3066">
        <v>0</v>
      </c>
      <c r="S165" s="3066" t="s">
        <v>3577</v>
      </c>
      <c r="T165" s="3066">
        <v>5.41</v>
      </c>
      <c r="U165" s="3066">
        <v>200</v>
      </c>
      <c r="V165" s="3066" t="s">
        <v>3560</v>
      </c>
      <c r="W165" s="3066" t="s">
        <v>3568</v>
      </c>
      <c r="X165" s="3066">
        <v>0.27</v>
      </c>
      <c r="Y165" s="3066">
        <v>120</v>
      </c>
      <c r="Z165" s="3066" t="s">
        <v>3568</v>
      </c>
      <c r="AA165" s="3066" t="s">
        <v>3560</v>
      </c>
      <c r="AB165" s="3066" t="s">
        <v>3677</v>
      </c>
      <c r="AC165" s="3066" t="s">
        <v>3677</v>
      </c>
      <c r="AD165" s="3066" t="s">
        <v>3677</v>
      </c>
      <c r="AE165" s="3066" t="s">
        <v>3560</v>
      </c>
      <c r="AF165" s="3067">
        <v>200</v>
      </c>
      <c r="AG165" s="3066">
        <v>200</v>
      </c>
      <c r="AH165" s="3066">
        <v>10</v>
      </c>
      <c r="AI165" s="3066">
        <v>10</v>
      </c>
      <c r="AJ165" s="3066">
        <v>106.28</v>
      </c>
      <c r="AK165" s="3066">
        <v>106.28</v>
      </c>
      <c r="AL165" s="3066">
        <v>316.27999999999997</v>
      </c>
      <c r="AM165" s="3066">
        <v>316.27999999999997</v>
      </c>
      <c r="AN165" s="3066" t="s">
        <v>3560</v>
      </c>
      <c r="AP165" s="3068">
        <f t="shared" si="2"/>
        <v>5.4054054054054053</v>
      </c>
    </row>
    <row r="166" spans="2:42" ht="27" customHeight="1">
      <c r="B166" s="3066">
        <v>174</v>
      </c>
      <c r="C166" s="3066" t="s">
        <v>4002</v>
      </c>
      <c r="D166" s="3066" t="s">
        <v>3972</v>
      </c>
      <c r="E166" s="3066" t="s">
        <v>4207</v>
      </c>
      <c r="F166" s="3066" t="s">
        <v>3917</v>
      </c>
      <c r="G166" s="3066" t="s">
        <v>3560</v>
      </c>
      <c r="H166" s="3066" t="s">
        <v>3560</v>
      </c>
      <c r="I166" s="3066" t="s">
        <v>3560</v>
      </c>
      <c r="J166" s="3066" t="s">
        <v>3560</v>
      </c>
      <c r="K166" s="3066" t="s">
        <v>3560</v>
      </c>
      <c r="L166" s="3066" t="s">
        <v>3560</v>
      </c>
      <c r="M166" s="3066" t="s">
        <v>4208</v>
      </c>
      <c r="N166" s="3066">
        <v>43</v>
      </c>
      <c r="O166" s="3066" t="s">
        <v>3560</v>
      </c>
      <c r="P166" s="3066" t="s">
        <v>3560</v>
      </c>
      <c r="Q166" s="3066">
        <v>0</v>
      </c>
      <c r="R166" s="3066">
        <v>0</v>
      </c>
      <c r="S166" s="3066" t="s">
        <v>3577</v>
      </c>
      <c r="T166" s="3066">
        <v>0</v>
      </c>
      <c r="U166" s="3066">
        <v>0</v>
      </c>
      <c r="V166" s="3066" t="s">
        <v>3560</v>
      </c>
      <c r="W166" s="3066" t="s">
        <v>3568</v>
      </c>
      <c r="X166" s="3066">
        <v>0</v>
      </c>
      <c r="Y166" s="3066">
        <v>0</v>
      </c>
      <c r="Z166" s="3066" t="s">
        <v>3568</v>
      </c>
      <c r="AA166" s="3066" t="s">
        <v>3560</v>
      </c>
      <c r="AB166" s="3066" t="s">
        <v>3560</v>
      </c>
      <c r="AC166" s="3066" t="s">
        <v>3560</v>
      </c>
      <c r="AD166" s="3066" t="s">
        <v>3560</v>
      </c>
      <c r="AE166" s="3066" t="s">
        <v>3560</v>
      </c>
      <c r="AF166" s="3067">
        <v>0</v>
      </c>
      <c r="AG166" s="3066">
        <v>0</v>
      </c>
      <c r="AH166" s="3066">
        <v>0</v>
      </c>
      <c r="AI166" s="3066">
        <v>0</v>
      </c>
      <c r="AJ166" s="3066">
        <v>0</v>
      </c>
      <c r="AK166" s="3066">
        <v>0</v>
      </c>
      <c r="AL166" s="3066">
        <v>0</v>
      </c>
      <c r="AM166" s="3066">
        <v>0</v>
      </c>
      <c r="AN166" s="3066" t="s">
        <v>3560</v>
      </c>
      <c r="AP166" s="3068">
        <f t="shared" si="2"/>
        <v>0</v>
      </c>
    </row>
    <row r="167" spans="2:42" ht="27" customHeight="1">
      <c r="B167" s="3066">
        <v>175</v>
      </c>
      <c r="C167" s="3066" t="s">
        <v>4002</v>
      </c>
      <c r="D167" s="3066" t="s">
        <v>4209</v>
      </c>
      <c r="E167" s="3066" t="s">
        <v>4210</v>
      </c>
      <c r="F167" s="3066" t="s">
        <v>3917</v>
      </c>
      <c r="G167" s="3066" t="s">
        <v>1373</v>
      </c>
      <c r="H167" s="3066" t="s">
        <v>3560</v>
      </c>
      <c r="I167" s="3066" t="s">
        <v>4211</v>
      </c>
      <c r="J167" s="3066" t="s">
        <v>4211</v>
      </c>
      <c r="K167" s="3066" t="s">
        <v>3560</v>
      </c>
      <c r="L167" s="3066" t="s">
        <v>4212</v>
      </c>
      <c r="M167" s="3066" t="s">
        <v>4213</v>
      </c>
      <c r="N167" s="3066">
        <v>37</v>
      </c>
      <c r="O167" s="3066" t="s">
        <v>3619</v>
      </c>
      <c r="P167" s="3066" t="s">
        <v>3566</v>
      </c>
      <c r="Q167" s="3066">
        <v>1</v>
      </c>
      <c r="R167" s="3066">
        <v>2472</v>
      </c>
      <c r="S167" s="3066" t="s">
        <v>3567</v>
      </c>
      <c r="T167" s="3066">
        <v>21</v>
      </c>
      <c r="U167" s="3066">
        <v>777</v>
      </c>
      <c r="V167" s="3066" t="s">
        <v>3560</v>
      </c>
      <c r="W167" s="3066" t="s">
        <v>3568</v>
      </c>
      <c r="X167" s="3066">
        <v>2.27</v>
      </c>
      <c r="Y167" s="3066">
        <v>1008</v>
      </c>
      <c r="Z167" s="3066" t="s">
        <v>3568</v>
      </c>
      <c r="AA167" s="3066" t="s">
        <v>3560</v>
      </c>
      <c r="AB167" s="3066" t="s">
        <v>3584</v>
      </c>
      <c r="AC167" s="3066" t="s">
        <v>3584</v>
      </c>
      <c r="AD167" s="3066" t="s">
        <v>3584</v>
      </c>
      <c r="AE167" s="3066" t="s">
        <v>3560</v>
      </c>
      <c r="AF167" s="3067">
        <v>777</v>
      </c>
      <c r="AG167" s="3066">
        <v>0</v>
      </c>
      <c r="AH167" s="3066">
        <v>84</v>
      </c>
      <c r="AI167" s="3066">
        <v>0</v>
      </c>
      <c r="AJ167" s="3066">
        <v>58.13</v>
      </c>
      <c r="AK167" s="3066">
        <v>0</v>
      </c>
      <c r="AL167" s="3066">
        <v>919.13</v>
      </c>
      <c r="AM167" s="3066">
        <v>0</v>
      </c>
      <c r="AN167" s="3066" t="s">
        <v>3560</v>
      </c>
      <c r="AP167" s="3068">
        <f t="shared" si="2"/>
        <v>21</v>
      </c>
    </row>
    <row r="168" spans="2:42" ht="27" customHeight="1">
      <c r="B168" s="3066">
        <v>176</v>
      </c>
      <c r="C168" s="3066" t="s">
        <v>4002</v>
      </c>
      <c r="D168" s="3066" t="s">
        <v>4209</v>
      </c>
      <c r="E168" s="3066" t="s">
        <v>4214</v>
      </c>
      <c r="F168" s="3066" t="s">
        <v>3917</v>
      </c>
      <c r="G168" s="3066" t="s">
        <v>3560</v>
      </c>
      <c r="H168" s="3066" t="s">
        <v>3560</v>
      </c>
      <c r="I168" s="3066" t="s">
        <v>4035</v>
      </c>
      <c r="J168" s="3066" t="s">
        <v>4035</v>
      </c>
      <c r="K168" s="3066" t="s">
        <v>3560</v>
      </c>
      <c r="L168" s="3066" t="s">
        <v>4036</v>
      </c>
      <c r="M168" s="3066" t="s">
        <v>4215</v>
      </c>
      <c r="N168" s="3066">
        <v>37</v>
      </c>
      <c r="O168" s="3066" t="s">
        <v>3744</v>
      </c>
      <c r="P168" s="3066" t="s">
        <v>3566</v>
      </c>
      <c r="Q168" s="3066">
        <v>1</v>
      </c>
      <c r="R168" s="3066">
        <v>2472</v>
      </c>
      <c r="S168" s="3066" t="s">
        <v>3567</v>
      </c>
      <c r="T168" s="3066">
        <v>20</v>
      </c>
      <c r="U168" s="3066">
        <v>740</v>
      </c>
      <c r="V168" s="3066" t="s">
        <v>3560</v>
      </c>
      <c r="W168" s="3066" t="s">
        <v>3568</v>
      </c>
      <c r="X168" s="3066">
        <v>2.27</v>
      </c>
      <c r="Y168" s="3066">
        <v>1008</v>
      </c>
      <c r="Z168" s="3066" t="s">
        <v>3568</v>
      </c>
      <c r="AA168" s="3066" t="s">
        <v>3560</v>
      </c>
      <c r="AB168" s="3066" t="s">
        <v>3746</v>
      </c>
      <c r="AC168" s="3066" t="s">
        <v>3746</v>
      </c>
      <c r="AD168" s="3066" t="s">
        <v>3746</v>
      </c>
      <c r="AE168" s="3066" t="s">
        <v>3560</v>
      </c>
      <c r="AF168" s="3067">
        <v>740</v>
      </c>
      <c r="AG168" s="3066">
        <v>740</v>
      </c>
      <c r="AH168" s="3066">
        <v>84</v>
      </c>
      <c r="AI168" s="3066">
        <v>84</v>
      </c>
      <c r="AJ168" s="3066">
        <v>207.95</v>
      </c>
      <c r="AK168" s="3066">
        <v>207.95</v>
      </c>
      <c r="AL168" s="3066">
        <v>1031.95</v>
      </c>
      <c r="AM168" s="3066">
        <v>1031.95</v>
      </c>
      <c r="AN168" s="3066" t="s">
        <v>3560</v>
      </c>
      <c r="AP168" s="3068">
        <f t="shared" si="2"/>
        <v>20</v>
      </c>
    </row>
    <row r="169" spans="2:42" ht="27" customHeight="1">
      <c r="B169" s="3066">
        <v>177</v>
      </c>
      <c r="C169" s="3066" t="s">
        <v>4002</v>
      </c>
      <c r="D169" s="3066" t="s">
        <v>4209</v>
      </c>
      <c r="E169" s="3066" t="s">
        <v>4216</v>
      </c>
      <c r="F169" s="3066" t="s">
        <v>3917</v>
      </c>
      <c r="G169" s="3066" t="s">
        <v>1373</v>
      </c>
      <c r="H169" s="3066" t="s">
        <v>3560</v>
      </c>
      <c r="I169" s="3066" t="s">
        <v>4217</v>
      </c>
      <c r="J169" s="3066" t="s">
        <v>4217</v>
      </c>
      <c r="K169" s="3066" t="s">
        <v>3560</v>
      </c>
      <c r="L169" s="3066" t="s">
        <v>4218</v>
      </c>
      <c r="M169" s="3066" t="s">
        <v>4219</v>
      </c>
      <c r="N169" s="3066">
        <v>37</v>
      </c>
      <c r="O169" s="3066" t="s">
        <v>3939</v>
      </c>
      <c r="P169" s="3066" t="s">
        <v>3940</v>
      </c>
      <c r="Q169" s="3066">
        <v>1</v>
      </c>
      <c r="R169" s="3066">
        <v>2472</v>
      </c>
      <c r="S169" s="3066" t="s">
        <v>3567</v>
      </c>
      <c r="T169" s="3066">
        <v>20</v>
      </c>
      <c r="U169" s="3066">
        <v>740</v>
      </c>
      <c r="V169" s="3066" t="s">
        <v>3560</v>
      </c>
      <c r="W169" s="3066" t="s">
        <v>3568</v>
      </c>
      <c r="X169" s="3066">
        <v>2.27</v>
      </c>
      <c r="Y169" s="3066">
        <v>1008</v>
      </c>
      <c r="Z169" s="3066" t="s">
        <v>3568</v>
      </c>
      <c r="AA169" s="3066" t="s">
        <v>3560</v>
      </c>
      <c r="AB169" s="3066" t="s">
        <v>3941</v>
      </c>
      <c r="AC169" s="3066" t="s">
        <v>3941</v>
      </c>
      <c r="AD169" s="3066" t="s">
        <v>3941</v>
      </c>
      <c r="AE169" s="3066" t="s">
        <v>3560</v>
      </c>
      <c r="AF169" s="3067">
        <v>740</v>
      </c>
      <c r="AG169" s="3066">
        <v>740</v>
      </c>
      <c r="AH169" s="3066">
        <v>84</v>
      </c>
      <c r="AI169" s="3066">
        <v>84</v>
      </c>
      <c r="AJ169" s="3066">
        <v>247.05</v>
      </c>
      <c r="AK169" s="3066">
        <v>247.05</v>
      </c>
      <c r="AL169" s="3066">
        <v>1071.05</v>
      </c>
      <c r="AM169" s="3066">
        <v>1071.05</v>
      </c>
      <c r="AN169" s="3066" t="s">
        <v>3560</v>
      </c>
      <c r="AP169" s="3068">
        <f t="shared" si="2"/>
        <v>20</v>
      </c>
    </row>
    <row r="170" spans="2:42" ht="27" customHeight="1">
      <c r="B170" s="3066">
        <v>178</v>
      </c>
      <c r="C170" s="3066" t="s">
        <v>4002</v>
      </c>
      <c r="D170" s="3066" t="s">
        <v>4209</v>
      </c>
      <c r="E170" s="3066" t="s">
        <v>4216</v>
      </c>
      <c r="F170" s="3066" t="s">
        <v>3917</v>
      </c>
      <c r="G170" s="3066" t="s">
        <v>1373</v>
      </c>
      <c r="H170" s="3066" t="s">
        <v>3560</v>
      </c>
      <c r="I170" s="3066" t="s">
        <v>4217</v>
      </c>
      <c r="J170" s="3066" t="s">
        <v>4217</v>
      </c>
      <c r="K170" s="3066" t="s">
        <v>3560</v>
      </c>
      <c r="L170" s="3066" t="s">
        <v>4218</v>
      </c>
      <c r="M170" s="3066" t="s">
        <v>4219</v>
      </c>
      <c r="N170" s="3066">
        <v>37</v>
      </c>
      <c r="O170" s="3066" t="s">
        <v>4220</v>
      </c>
      <c r="P170" s="3066" t="s">
        <v>3566</v>
      </c>
      <c r="Q170" s="3066">
        <v>0</v>
      </c>
      <c r="R170" s="3066">
        <v>2472</v>
      </c>
      <c r="S170" s="3066" t="s">
        <v>3567</v>
      </c>
      <c r="T170" s="3066">
        <v>21</v>
      </c>
      <c r="U170" s="3066">
        <v>777</v>
      </c>
      <c r="V170" s="3066" t="s">
        <v>3560</v>
      </c>
      <c r="W170" s="3066" t="s">
        <v>3568</v>
      </c>
      <c r="X170" s="3066">
        <v>2.27</v>
      </c>
      <c r="Y170" s="3066">
        <v>1008</v>
      </c>
      <c r="Z170" s="3066" t="s">
        <v>3568</v>
      </c>
      <c r="AA170" s="3066" t="s">
        <v>3560</v>
      </c>
      <c r="AB170" s="3066" t="s">
        <v>3943</v>
      </c>
      <c r="AC170" s="3066" t="s">
        <v>3943</v>
      </c>
      <c r="AD170" s="3066" t="s">
        <v>3943</v>
      </c>
      <c r="AE170" s="3066" t="s">
        <v>3560</v>
      </c>
      <c r="AF170" s="3067">
        <v>740</v>
      </c>
      <c r="AG170" s="3066">
        <v>740</v>
      </c>
      <c r="AH170" s="3066">
        <v>84</v>
      </c>
      <c r="AI170" s="3066">
        <v>84</v>
      </c>
      <c r="AJ170" s="3066">
        <v>247.05</v>
      </c>
      <c r="AK170" s="3066">
        <v>247.05</v>
      </c>
      <c r="AL170" s="3066">
        <v>1071.05</v>
      </c>
      <c r="AM170" s="3066">
        <v>1071.05</v>
      </c>
      <c r="AN170" s="3066" t="s">
        <v>3560</v>
      </c>
      <c r="AP170" s="3068">
        <f t="shared" si="2"/>
        <v>20</v>
      </c>
    </row>
    <row r="171" spans="2:42" ht="27" customHeight="1">
      <c r="B171" s="3066">
        <v>179</v>
      </c>
      <c r="C171" s="3066" t="s">
        <v>4002</v>
      </c>
      <c r="D171" s="3066" t="s">
        <v>4209</v>
      </c>
      <c r="E171" s="3066" t="s">
        <v>4221</v>
      </c>
      <c r="F171" s="3066" t="s">
        <v>3917</v>
      </c>
      <c r="G171" s="3066" t="s">
        <v>1373</v>
      </c>
      <c r="H171" s="3066" t="s">
        <v>3560</v>
      </c>
      <c r="I171" s="3066" t="s">
        <v>4130</v>
      </c>
      <c r="J171" s="3066" t="s">
        <v>4130</v>
      </c>
      <c r="K171" s="3066" t="s">
        <v>3560</v>
      </c>
      <c r="L171" s="3066" t="s">
        <v>4131</v>
      </c>
      <c r="M171" s="3066" t="s">
        <v>4222</v>
      </c>
      <c r="N171" s="3066">
        <v>37</v>
      </c>
      <c r="O171" s="3066" t="s">
        <v>4064</v>
      </c>
      <c r="P171" s="3066" t="s">
        <v>3566</v>
      </c>
      <c r="Q171" s="3066">
        <v>5</v>
      </c>
      <c r="R171" s="3066">
        <v>0</v>
      </c>
      <c r="S171" s="3066" t="s">
        <v>3577</v>
      </c>
      <c r="T171" s="3066">
        <v>5.41</v>
      </c>
      <c r="U171" s="3066">
        <v>200</v>
      </c>
      <c r="V171" s="3066" t="s">
        <v>3560</v>
      </c>
      <c r="W171" s="3066" t="s">
        <v>3568</v>
      </c>
      <c r="X171" s="3066">
        <v>0.27</v>
      </c>
      <c r="Y171" s="3066">
        <v>120</v>
      </c>
      <c r="Z171" s="3066" t="s">
        <v>3568</v>
      </c>
      <c r="AA171" s="3066" t="s">
        <v>3560</v>
      </c>
      <c r="AB171" s="3066" t="s">
        <v>3642</v>
      </c>
      <c r="AC171" s="3066" t="s">
        <v>3642</v>
      </c>
      <c r="AD171" s="3066" t="s">
        <v>3642</v>
      </c>
      <c r="AE171" s="3066" t="s">
        <v>3560</v>
      </c>
      <c r="AF171" s="3067">
        <v>200</v>
      </c>
      <c r="AG171" s="3066">
        <v>200</v>
      </c>
      <c r="AH171" s="3066">
        <v>10</v>
      </c>
      <c r="AI171" s="3066">
        <v>10</v>
      </c>
      <c r="AJ171" s="3066">
        <v>23.9</v>
      </c>
      <c r="AK171" s="3066">
        <v>23.9</v>
      </c>
      <c r="AL171" s="3066">
        <v>233.9</v>
      </c>
      <c r="AM171" s="3066">
        <v>233.9</v>
      </c>
      <c r="AN171" s="3066" t="s">
        <v>3560</v>
      </c>
      <c r="AP171" s="3068">
        <f t="shared" si="2"/>
        <v>5.4054054054054053</v>
      </c>
    </row>
    <row r="172" spans="2:42" ht="27" customHeight="1">
      <c r="B172" s="3066">
        <v>180</v>
      </c>
      <c r="C172" s="3066" t="s">
        <v>4002</v>
      </c>
      <c r="D172" s="3066" t="s">
        <v>4209</v>
      </c>
      <c r="E172" s="3066" t="s">
        <v>4223</v>
      </c>
      <c r="F172" s="3066" t="s">
        <v>3917</v>
      </c>
      <c r="G172" s="3066" t="s">
        <v>1373</v>
      </c>
      <c r="H172" s="3066" t="s">
        <v>3560</v>
      </c>
      <c r="I172" s="3066" t="s">
        <v>4224</v>
      </c>
      <c r="J172" s="3066" t="s">
        <v>4224</v>
      </c>
      <c r="K172" s="3066" t="s">
        <v>3560</v>
      </c>
      <c r="L172" s="3066" t="s">
        <v>4225</v>
      </c>
      <c r="M172" s="3066" t="s">
        <v>4226</v>
      </c>
      <c r="N172" s="3066">
        <v>37</v>
      </c>
      <c r="O172" s="3066" t="s">
        <v>4064</v>
      </c>
      <c r="P172" s="3066" t="s">
        <v>4096</v>
      </c>
      <c r="Q172" s="3066">
        <v>5</v>
      </c>
      <c r="R172" s="3066">
        <v>0</v>
      </c>
      <c r="S172" s="3066" t="s">
        <v>3577</v>
      </c>
      <c r="T172" s="3066">
        <v>5.41</v>
      </c>
      <c r="U172" s="3066">
        <v>200</v>
      </c>
      <c r="V172" s="3066" t="s">
        <v>3560</v>
      </c>
      <c r="W172" s="3066" t="s">
        <v>3568</v>
      </c>
      <c r="X172" s="3066">
        <v>0.27</v>
      </c>
      <c r="Y172" s="3066">
        <v>120</v>
      </c>
      <c r="Z172" s="3066" t="s">
        <v>3568</v>
      </c>
      <c r="AA172" s="3066" t="s">
        <v>3560</v>
      </c>
      <c r="AB172" s="3066" t="s">
        <v>3642</v>
      </c>
      <c r="AC172" s="3066" t="s">
        <v>3642</v>
      </c>
      <c r="AD172" s="3066" t="s">
        <v>3642</v>
      </c>
      <c r="AE172" s="3066" t="s">
        <v>3560</v>
      </c>
      <c r="AF172" s="3067">
        <v>0</v>
      </c>
      <c r="AG172" s="3066">
        <v>0</v>
      </c>
      <c r="AH172" s="3066">
        <v>0</v>
      </c>
      <c r="AI172" s="3066">
        <v>0</v>
      </c>
      <c r="AJ172" s="3066">
        <v>34.17</v>
      </c>
      <c r="AK172" s="3066">
        <v>0</v>
      </c>
      <c r="AL172" s="3066">
        <v>34.17</v>
      </c>
      <c r="AM172" s="3066">
        <v>0</v>
      </c>
      <c r="AN172" s="3066" t="s">
        <v>3560</v>
      </c>
      <c r="AP172" s="3068">
        <f t="shared" si="2"/>
        <v>0</v>
      </c>
    </row>
    <row r="173" spans="2:42" ht="27" customHeight="1">
      <c r="B173" s="3066">
        <v>181</v>
      </c>
      <c r="C173" s="3066" t="s">
        <v>4002</v>
      </c>
      <c r="D173" s="3066" t="s">
        <v>4209</v>
      </c>
      <c r="E173" s="3066" t="s">
        <v>4227</v>
      </c>
      <c r="F173" s="3066" t="s">
        <v>3917</v>
      </c>
      <c r="G173" s="3066" t="s">
        <v>3560</v>
      </c>
      <c r="H173" s="3066" t="s">
        <v>3560</v>
      </c>
      <c r="I173" s="3066" t="s">
        <v>4228</v>
      </c>
      <c r="J173" s="3066" t="s">
        <v>4228</v>
      </c>
      <c r="K173" s="3066" t="s">
        <v>3560</v>
      </c>
      <c r="L173" s="3066" t="s">
        <v>4229</v>
      </c>
      <c r="M173" s="3066" t="s">
        <v>4230</v>
      </c>
      <c r="N173" s="3066">
        <v>37</v>
      </c>
      <c r="O173" s="3066" t="s">
        <v>3608</v>
      </c>
      <c r="P173" s="3066" t="s">
        <v>3566</v>
      </c>
      <c r="Q173" s="3066">
        <v>1</v>
      </c>
      <c r="R173" s="3066">
        <v>4120</v>
      </c>
      <c r="S173" s="3066" t="s">
        <v>3567</v>
      </c>
      <c r="T173" s="3066">
        <v>20</v>
      </c>
      <c r="U173" s="3066">
        <v>740</v>
      </c>
      <c r="V173" s="3066" t="s">
        <v>3560</v>
      </c>
      <c r="W173" s="3066" t="s">
        <v>3568</v>
      </c>
      <c r="X173" s="3066">
        <v>2.27</v>
      </c>
      <c r="Y173" s="3066">
        <v>1008</v>
      </c>
      <c r="Z173" s="3066" t="s">
        <v>3568</v>
      </c>
      <c r="AA173" s="3066" t="s">
        <v>3560</v>
      </c>
      <c r="AB173" s="3066" t="s">
        <v>3609</v>
      </c>
      <c r="AC173" s="3066" t="s">
        <v>3609</v>
      </c>
      <c r="AD173" s="3066" t="s">
        <v>3609</v>
      </c>
      <c r="AE173" s="3066" t="s">
        <v>3560</v>
      </c>
      <c r="AF173" s="3067">
        <v>740</v>
      </c>
      <c r="AG173" s="3066">
        <v>740</v>
      </c>
      <c r="AH173" s="3066">
        <v>84</v>
      </c>
      <c r="AI173" s="3066">
        <v>84</v>
      </c>
      <c r="AJ173" s="3066">
        <v>38.85</v>
      </c>
      <c r="AK173" s="3066">
        <v>38.85</v>
      </c>
      <c r="AL173" s="3066">
        <v>862.85</v>
      </c>
      <c r="AM173" s="3066">
        <v>862.85</v>
      </c>
      <c r="AN173" s="3066" t="s">
        <v>3560</v>
      </c>
      <c r="AP173" s="3068">
        <f t="shared" si="2"/>
        <v>20</v>
      </c>
    </row>
    <row r="174" spans="2:42" ht="27" customHeight="1">
      <c r="B174" s="3066">
        <v>182</v>
      </c>
      <c r="C174" s="3066" t="s">
        <v>4002</v>
      </c>
      <c r="D174" s="3066" t="s">
        <v>4209</v>
      </c>
      <c r="E174" s="3066" t="s">
        <v>4231</v>
      </c>
      <c r="F174" s="3066" t="s">
        <v>3917</v>
      </c>
      <c r="G174" s="3066" t="s">
        <v>3560</v>
      </c>
      <c r="H174" s="3066" t="s">
        <v>3560</v>
      </c>
      <c r="I174" s="3066" t="s">
        <v>4232</v>
      </c>
      <c r="J174" s="3066" t="s">
        <v>4232</v>
      </c>
      <c r="K174" s="3066" t="s">
        <v>3560</v>
      </c>
      <c r="L174" s="3066" t="s">
        <v>4233</v>
      </c>
      <c r="M174" s="3066" t="s">
        <v>4234</v>
      </c>
      <c r="N174" s="3066">
        <v>37</v>
      </c>
      <c r="O174" s="3066" t="s">
        <v>4235</v>
      </c>
      <c r="P174" s="3066" t="s">
        <v>3566</v>
      </c>
      <c r="Q174" s="3066">
        <v>0</v>
      </c>
      <c r="R174" s="3066">
        <v>2472</v>
      </c>
      <c r="S174" s="3066" t="s">
        <v>3567</v>
      </c>
      <c r="T174" s="3066">
        <v>20</v>
      </c>
      <c r="U174" s="3066">
        <v>740</v>
      </c>
      <c r="V174" s="3066" t="s">
        <v>3560</v>
      </c>
      <c r="W174" s="3066" t="s">
        <v>3568</v>
      </c>
      <c r="X174" s="3066">
        <v>2.27</v>
      </c>
      <c r="Y174" s="3066">
        <v>1008</v>
      </c>
      <c r="Z174" s="3066" t="s">
        <v>3568</v>
      </c>
      <c r="AA174" s="3066" t="s">
        <v>3560</v>
      </c>
      <c r="AB174" s="3066" t="s">
        <v>4236</v>
      </c>
      <c r="AC174" s="3066" t="s">
        <v>4236</v>
      </c>
      <c r="AD174" s="3066" t="s">
        <v>4236</v>
      </c>
      <c r="AE174" s="3066" t="s">
        <v>3560</v>
      </c>
      <c r="AF174" s="3067">
        <v>740</v>
      </c>
      <c r="AG174" s="3066">
        <v>740</v>
      </c>
      <c r="AH174" s="3066">
        <v>84</v>
      </c>
      <c r="AI174" s="3066">
        <v>84</v>
      </c>
      <c r="AJ174" s="3066">
        <v>131.97999999999999</v>
      </c>
      <c r="AK174" s="3066">
        <v>131.97999999999999</v>
      </c>
      <c r="AL174" s="3066">
        <v>955.98</v>
      </c>
      <c r="AM174" s="3066">
        <v>955.98</v>
      </c>
      <c r="AN174" s="3066" t="s">
        <v>3560</v>
      </c>
      <c r="AP174" s="3068">
        <f t="shared" si="2"/>
        <v>20</v>
      </c>
    </row>
    <row r="175" spans="2:42" ht="27" customHeight="1">
      <c r="B175" s="3066">
        <v>183</v>
      </c>
      <c r="C175" s="3066" t="s">
        <v>4002</v>
      </c>
      <c r="D175" s="3066" t="s">
        <v>4209</v>
      </c>
      <c r="E175" s="3066" t="s">
        <v>4237</v>
      </c>
      <c r="F175" s="3066" t="s">
        <v>3917</v>
      </c>
      <c r="G175" s="3066" t="s">
        <v>1373</v>
      </c>
      <c r="H175" s="3066" t="s">
        <v>3560</v>
      </c>
      <c r="I175" s="3066" t="s">
        <v>4238</v>
      </c>
      <c r="J175" s="3066" t="s">
        <v>4238</v>
      </c>
      <c r="K175" s="3066" t="s">
        <v>3560</v>
      </c>
      <c r="L175" s="3066" t="s">
        <v>4239</v>
      </c>
      <c r="M175" s="3066" t="s">
        <v>4240</v>
      </c>
      <c r="N175" s="3066">
        <v>37</v>
      </c>
      <c r="O175" s="3066" t="s">
        <v>4064</v>
      </c>
      <c r="P175" s="3066" t="s">
        <v>3566</v>
      </c>
      <c r="Q175" s="3066">
        <v>5</v>
      </c>
      <c r="R175" s="3066">
        <v>0</v>
      </c>
      <c r="S175" s="3066" t="s">
        <v>3577</v>
      </c>
      <c r="T175" s="3066">
        <v>5.41</v>
      </c>
      <c r="U175" s="3066">
        <v>200</v>
      </c>
      <c r="V175" s="3066" t="s">
        <v>3560</v>
      </c>
      <c r="W175" s="3066" t="s">
        <v>3568</v>
      </c>
      <c r="X175" s="3066">
        <v>0.27</v>
      </c>
      <c r="Y175" s="3066">
        <v>120</v>
      </c>
      <c r="Z175" s="3066" t="s">
        <v>3568</v>
      </c>
      <c r="AA175" s="3066" t="s">
        <v>3560</v>
      </c>
      <c r="AB175" s="3066" t="s">
        <v>3642</v>
      </c>
      <c r="AC175" s="3066" t="s">
        <v>3642</v>
      </c>
      <c r="AD175" s="3066" t="s">
        <v>3642</v>
      </c>
      <c r="AE175" s="3066" t="s">
        <v>3560</v>
      </c>
      <c r="AF175" s="3067">
        <v>200</v>
      </c>
      <c r="AG175" s="3066">
        <v>200</v>
      </c>
      <c r="AH175" s="3066">
        <v>10</v>
      </c>
      <c r="AI175" s="3066">
        <v>10</v>
      </c>
      <c r="AJ175" s="3066">
        <v>22.66</v>
      </c>
      <c r="AK175" s="3066">
        <v>22.66</v>
      </c>
      <c r="AL175" s="3066">
        <v>232.66</v>
      </c>
      <c r="AM175" s="3066">
        <v>232.66</v>
      </c>
      <c r="AN175" s="3066" t="s">
        <v>3560</v>
      </c>
      <c r="AP175" s="3068">
        <f t="shared" si="2"/>
        <v>5.4054054054054053</v>
      </c>
    </row>
    <row r="176" spans="2:42" ht="27" customHeight="1">
      <c r="B176" s="3066">
        <v>184</v>
      </c>
      <c r="C176" s="3066" t="s">
        <v>4002</v>
      </c>
      <c r="D176" s="3066" t="s">
        <v>4209</v>
      </c>
      <c r="E176" s="3066" t="s">
        <v>4241</v>
      </c>
      <c r="F176" s="3066" t="s">
        <v>3917</v>
      </c>
      <c r="G176" s="3066" t="s">
        <v>1373</v>
      </c>
      <c r="H176" s="3066" t="s">
        <v>3560</v>
      </c>
      <c r="I176" s="3066" t="s">
        <v>4242</v>
      </c>
      <c r="J176" s="3066" t="s">
        <v>4242</v>
      </c>
      <c r="K176" s="3066" t="s">
        <v>3560</v>
      </c>
      <c r="L176" s="3066" t="s">
        <v>4243</v>
      </c>
      <c r="M176" s="3066" t="s">
        <v>4244</v>
      </c>
      <c r="N176" s="3066">
        <v>37</v>
      </c>
      <c r="O176" s="3066" t="s">
        <v>4064</v>
      </c>
      <c r="P176" s="3066" t="s">
        <v>3566</v>
      </c>
      <c r="Q176" s="3066">
        <v>5</v>
      </c>
      <c r="R176" s="3066">
        <v>1200</v>
      </c>
      <c r="S176" s="3066" t="s">
        <v>3567</v>
      </c>
      <c r="T176" s="3066">
        <v>5.41</v>
      </c>
      <c r="U176" s="3066">
        <v>200</v>
      </c>
      <c r="V176" s="3066" t="s">
        <v>3560</v>
      </c>
      <c r="W176" s="3066" t="s">
        <v>3568</v>
      </c>
      <c r="X176" s="3066">
        <v>0.27</v>
      </c>
      <c r="Y176" s="3066">
        <v>120</v>
      </c>
      <c r="Z176" s="3066" t="s">
        <v>3568</v>
      </c>
      <c r="AA176" s="3066" t="s">
        <v>3560</v>
      </c>
      <c r="AB176" s="3066" t="s">
        <v>3642</v>
      </c>
      <c r="AC176" s="3066" t="s">
        <v>3642</v>
      </c>
      <c r="AD176" s="3066" t="s">
        <v>3642</v>
      </c>
      <c r="AE176" s="3066" t="s">
        <v>3560</v>
      </c>
      <c r="AF176" s="3067">
        <v>200</v>
      </c>
      <c r="AG176" s="3066">
        <v>200</v>
      </c>
      <c r="AH176" s="3066">
        <v>10</v>
      </c>
      <c r="AI176" s="3066">
        <v>10</v>
      </c>
      <c r="AJ176" s="3066">
        <v>33.36</v>
      </c>
      <c r="AK176" s="3066">
        <v>33.36</v>
      </c>
      <c r="AL176" s="3066">
        <v>243.36</v>
      </c>
      <c r="AM176" s="3066">
        <v>243.36</v>
      </c>
      <c r="AN176" s="3066" t="s">
        <v>3560</v>
      </c>
      <c r="AP176" s="3068">
        <f t="shared" si="2"/>
        <v>5.4054054054054053</v>
      </c>
    </row>
    <row r="177" spans="2:42" ht="27" customHeight="1">
      <c r="B177" s="3066">
        <v>185</v>
      </c>
      <c r="C177" s="3066" t="s">
        <v>4002</v>
      </c>
      <c r="D177" s="3066" t="s">
        <v>4209</v>
      </c>
      <c r="E177" s="3066" t="s">
        <v>4245</v>
      </c>
      <c r="F177" s="3066" t="s">
        <v>3917</v>
      </c>
      <c r="G177" s="3066" t="s">
        <v>1373</v>
      </c>
      <c r="H177" s="3066" t="s">
        <v>3560</v>
      </c>
      <c r="I177" s="3066" t="s">
        <v>4246</v>
      </c>
      <c r="J177" s="3066" t="s">
        <v>4246</v>
      </c>
      <c r="K177" s="3066" t="s">
        <v>3560</v>
      </c>
      <c r="L177" s="3066" t="s">
        <v>4247</v>
      </c>
      <c r="M177" s="3066" t="s">
        <v>4248</v>
      </c>
      <c r="N177" s="3066">
        <v>37</v>
      </c>
      <c r="O177" s="3066" t="s">
        <v>4064</v>
      </c>
      <c r="P177" s="3066" t="s">
        <v>3566</v>
      </c>
      <c r="Q177" s="3066">
        <v>5</v>
      </c>
      <c r="R177" s="3066">
        <v>0</v>
      </c>
      <c r="S177" s="3066" t="s">
        <v>3577</v>
      </c>
      <c r="T177" s="3066">
        <v>2.7</v>
      </c>
      <c r="U177" s="3066">
        <v>100</v>
      </c>
      <c r="V177" s="3066" t="s">
        <v>3560</v>
      </c>
      <c r="W177" s="3066" t="s">
        <v>3568</v>
      </c>
      <c r="X177" s="3066">
        <v>0.27</v>
      </c>
      <c r="Y177" s="3066">
        <v>120</v>
      </c>
      <c r="Z177" s="3066" t="s">
        <v>3568</v>
      </c>
      <c r="AA177" s="3066" t="s">
        <v>3560</v>
      </c>
      <c r="AB177" s="3066" t="s">
        <v>3642</v>
      </c>
      <c r="AC177" s="3066" t="s">
        <v>3642</v>
      </c>
      <c r="AD177" s="3066" t="s">
        <v>3642</v>
      </c>
      <c r="AE177" s="3066" t="s">
        <v>3560</v>
      </c>
      <c r="AF177" s="3067">
        <v>100</v>
      </c>
      <c r="AG177" s="3066">
        <v>100</v>
      </c>
      <c r="AH177" s="3066">
        <v>10</v>
      </c>
      <c r="AI177" s="3066">
        <v>10</v>
      </c>
      <c r="AJ177" s="3066">
        <v>44.69</v>
      </c>
      <c r="AK177" s="3066">
        <v>44.69</v>
      </c>
      <c r="AL177" s="3066">
        <v>154.69</v>
      </c>
      <c r="AM177" s="3066">
        <v>154.69</v>
      </c>
      <c r="AN177" s="3066" t="s">
        <v>3560</v>
      </c>
      <c r="AP177" s="3068">
        <f t="shared" si="2"/>
        <v>2.7027027027027026</v>
      </c>
    </row>
    <row r="178" spans="2:42" ht="27" customHeight="1">
      <c r="B178" s="3066">
        <v>186</v>
      </c>
      <c r="C178" s="3066" t="s">
        <v>4002</v>
      </c>
      <c r="D178" s="3066" t="s">
        <v>4209</v>
      </c>
      <c r="E178" s="3066" t="s">
        <v>4249</v>
      </c>
      <c r="F178" s="3066" t="s">
        <v>3917</v>
      </c>
      <c r="G178" s="3066" t="s">
        <v>1373</v>
      </c>
      <c r="H178" s="3066" t="s">
        <v>3560</v>
      </c>
      <c r="I178" s="3066" t="s">
        <v>4250</v>
      </c>
      <c r="J178" s="3066" t="s">
        <v>4250</v>
      </c>
      <c r="K178" s="3066" t="s">
        <v>3560</v>
      </c>
      <c r="L178" s="3066" t="s">
        <v>4251</v>
      </c>
      <c r="M178" s="3066" t="s">
        <v>4252</v>
      </c>
      <c r="N178" s="3066">
        <v>37</v>
      </c>
      <c r="O178" s="3066" t="s">
        <v>4064</v>
      </c>
      <c r="P178" s="3066" t="s">
        <v>3566</v>
      </c>
      <c r="Q178" s="3066">
        <v>5</v>
      </c>
      <c r="R178" s="3066">
        <v>0</v>
      </c>
      <c r="S178" s="3066" t="s">
        <v>3577</v>
      </c>
      <c r="T178" s="3066">
        <v>2.7</v>
      </c>
      <c r="U178" s="3066">
        <v>100</v>
      </c>
      <c r="V178" s="3066" t="s">
        <v>3560</v>
      </c>
      <c r="W178" s="3066" t="s">
        <v>3568</v>
      </c>
      <c r="X178" s="3066">
        <v>0.27</v>
      </c>
      <c r="Y178" s="3066">
        <v>120</v>
      </c>
      <c r="Z178" s="3066" t="s">
        <v>3568</v>
      </c>
      <c r="AA178" s="3066" t="s">
        <v>3560</v>
      </c>
      <c r="AB178" s="3066" t="s">
        <v>3642</v>
      </c>
      <c r="AC178" s="3066" t="s">
        <v>3642</v>
      </c>
      <c r="AD178" s="3066" t="s">
        <v>3642</v>
      </c>
      <c r="AE178" s="3066" t="s">
        <v>3560</v>
      </c>
      <c r="AF178" s="3067">
        <v>100</v>
      </c>
      <c r="AG178" s="3066">
        <v>100</v>
      </c>
      <c r="AH178" s="3066">
        <v>10</v>
      </c>
      <c r="AI178" s="3066">
        <v>10</v>
      </c>
      <c r="AJ178" s="3066">
        <v>31.95</v>
      </c>
      <c r="AK178" s="3066">
        <v>31.95</v>
      </c>
      <c r="AL178" s="3066">
        <v>141.94999999999999</v>
      </c>
      <c r="AM178" s="3066">
        <v>141.94999999999999</v>
      </c>
      <c r="AN178" s="3066" t="s">
        <v>3560</v>
      </c>
      <c r="AP178" s="3068">
        <f t="shared" si="2"/>
        <v>2.7027027027027026</v>
      </c>
    </row>
    <row r="179" spans="2:42" ht="27" customHeight="1">
      <c r="B179" s="3066">
        <v>187</v>
      </c>
      <c r="C179" s="3066" t="s">
        <v>4002</v>
      </c>
      <c r="D179" s="3066" t="s">
        <v>4209</v>
      </c>
      <c r="E179" s="3066" t="s">
        <v>4253</v>
      </c>
      <c r="F179" s="3066" t="s">
        <v>3917</v>
      </c>
      <c r="G179" s="3066" t="s">
        <v>1373</v>
      </c>
      <c r="H179" s="3066" t="s">
        <v>3560</v>
      </c>
      <c r="I179" s="3066" t="s">
        <v>4254</v>
      </c>
      <c r="J179" s="3066" t="s">
        <v>4254</v>
      </c>
      <c r="K179" s="3066" t="s">
        <v>3560</v>
      </c>
      <c r="L179" s="3066" t="s">
        <v>4255</v>
      </c>
      <c r="M179" s="3066" t="s">
        <v>4256</v>
      </c>
      <c r="N179" s="3066">
        <v>43</v>
      </c>
      <c r="O179" s="3066" t="s">
        <v>4064</v>
      </c>
      <c r="P179" s="3066" t="s">
        <v>3566</v>
      </c>
      <c r="Q179" s="3066">
        <v>5</v>
      </c>
      <c r="R179" s="3066">
        <v>0</v>
      </c>
      <c r="S179" s="3066" t="s">
        <v>3577</v>
      </c>
      <c r="T179" s="3066">
        <v>2.33</v>
      </c>
      <c r="U179" s="3066">
        <v>100</v>
      </c>
      <c r="V179" s="3066" t="s">
        <v>3560</v>
      </c>
      <c r="W179" s="3066" t="s">
        <v>3568</v>
      </c>
      <c r="X179" s="3066">
        <v>0.23</v>
      </c>
      <c r="Y179" s="3066">
        <v>120</v>
      </c>
      <c r="Z179" s="3066" t="s">
        <v>3568</v>
      </c>
      <c r="AA179" s="3066" t="s">
        <v>3560</v>
      </c>
      <c r="AB179" s="3066" t="s">
        <v>3642</v>
      </c>
      <c r="AC179" s="3066" t="s">
        <v>3642</v>
      </c>
      <c r="AD179" s="3066" t="s">
        <v>3642</v>
      </c>
      <c r="AE179" s="3066" t="s">
        <v>3560</v>
      </c>
      <c r="AF179" s="3067">
        <v>100</v>
      </c>
      <c r="AG179" s="3066">
        <v>100</v>
      </c>
      <c r="AH179" s="3066">
        <v>10</v>
      </c>
      <c r="AI179" s="3066">
        <v>10</v>
      </c>
      <c r="AJ179" s="3066">
        <v>13.14</v>
      </c>
      <c r="AK179" s="3066">
        <v>13.14</v>
      </c>
      <c r="AL179" s="3066">
        <v>123.14</v>
      </c>
      <c r="AM179" s="3066">
        <v>123.14</v>
      </c>
      <c r="AN179" s="3066" t="s">
        <v>3560</v>
      </c>
      <c r="AP179" s="3068">
        <f t="shared" si="2"/>
        <v>2.3255813953488373</v>
      </c>
    </row>
    <row r="180" spans="2:42" ht="27" customHeight="1">
      <c r="B180" s="3066">
        <v>188</v>
      </c>
      <c r="C180" s="3066" t="s">
        <v>4002</v>
      </c>
      <c r="D180" s="3066" t="s">
        <v>3901</v>
      </c>
      <c r="E180" s="3066" t="s">
        <v>4257</v>
      </c>
      <c r="F180" s="3066" t="s">
        <v>3917</v>
      </c>
      <c r="G180" s="3066" t="s">
        <v>3560</v>
      </c>
      <c r="H180" s="3066" t="s">
        <v>3560</v>
      </c>
      <c r="I180" s="3066" t="s">
        <v>3560</v>
      </c>
      <c r="J180" s="3066" t="s">
        <v>3560</v>
      </c>
      <c r="K180" s="3066" t="s">
        <v>3560</v>
      </c>
      <c r="L180" s="3066" t="s">
        <v>3560</v>
      </c>
      <c r="M180" s="3066" t="s">
        <v>4258</v>
      </c>
      <c r="N180" s="3066">
        <v>37</v>
      </c>
      <c r="O180" s="3066" t="s">
        <v>3560</v>
      </c>
      <c r="P180" s="3066" t="s">
        <v>3560</v>
      </c>
      <c r="Q180" s="3066">
        <v>0</v>
      </c>
      <c r="R180" s="3066">
        <v>0</v>
      </c>
      <c r="S180" s="3066" t="s">
        <v>3577</v>
      </c>
      <c r="T180" s="3066">
        <v>0</v>
      </c>
      <c r="U180" s="3066">
        <v>0</v>
      </c>
      <c r="V180" s="3066" t="s">
        <v>3560</v>
      </c>
      <c r="W180" s="3066" t="s">
        <v>3568</v>
      </c>
      <c r="X180" s="3066">
        <v>0</v>
      </c>
      <c r="Y180" s="3066">
        <v>0</v>
      </c>
      <c r="Z180" s="3066" t="s">
        <v>3568</v>
      </c>
      <c r="AA180" s="3066" t="s">
        <v>3560</v>
      </c>
      <c r="AB180" s="3066" t="s">
        <v>3560</v>
      </c>
      <c r="AC180" s="3066" t="s">
        <v>3560</v>
      </c>
      <c r="AD180" s="3066" t="s">
        <v>3560</v>
      </c>
      <c r="AE180" s="3066" t="s">
        <v>3560</v>
      </c>
      <c r="AF180" s="3067">
        <v>0</v>
      </c>
      <c r="AG180" s="3066">
        <v>0</v>
      </c>
      <c r="AH180" s="3066">
        <v>0</v>
      </c>
      <c r="AI180" s="3066">
        <v>0</v>
      </c>
      <c r="AJ180" s="3066">
        <v>0</v>
      </c>
      <c r="AK180" s="3066">
        <v>0</v>
      </c>
      <c r="AL180" s="3066">
        <v>0</v>
      </c>
      <c r="AM180" s="3066">
        <v>0</v>
      </c>
      <c r="AN180" s="3066" t="s">
        <v>3560</v>
      </c>
      <c r="AP180" s="3068">
        <f t="shared" si="2"/>
        <v>0</v>
      </c>
    </row>
    <row r="181" spans="2:42" ht="27" customHeight="1">
      <c r="B181" s="3066">
        <v>189</v>
      </c>
      <c r="C181" s="3066" t="s">
        <v>4002</v>
      </c>
      <c r="D181" s="3066" t="s">
        <v>3901</v>
      </c>
      <c r="E181" s="3066" t="s">
        <v>4259</v>
      </c>
      <c r="F181" s="3066" t="s">
        <v>3917</v>
      </c>
      <c r="G181" s="3066" t="s">
        <v>1373</v>
      </c>
      <c r="H181" s="3066" t="s">
        <v>3560</v>
      </c>
      <c r="I181" s="3066" t="s">
        <v>4260</v>
      </c>
      <c r="J181" s="3066" t="s">
        <v>4260</v>
      </c>
      <c r="K181" s="3066" t="s">
        <v>3560</v>
      </c>
      <c r="L181" s="3066" t="s">
        <v>4261</v>
      </c>
      <c r="M181" s="3066" t="s">
        <v>4262</v>
      </c>
      <c r="N181" s="3066">
        <v>37</v>
      </c>
      <c r="O181" s="3066" t="s">
        <v>4064</v>
      </c>
      <c r="P181" s="3066" t="s">
        <v>3566</v>
      </c>
      <c r="Q181" s="3066">
        <v>5</v>
      </c>
      <c r="R181" s="3066">
        <v>0</v>
      </c>
      <c r="S181" s="3066" t="s">
        <v>3577</v>
      </c>
      <c r="T181" s="3066">
        <v>2.7</v>
      </c>
      <c r="U181" s="3066">
        <v>100</v>
      </c>
      <c r="V181" s="3066" t="s">
        <v>3560</v>
      </c>
      <c r="W181" s="3066" t="s">
        <v>3568</v>
      </c>
      <c r="X181" s="3066">
        <v>0.27</v>
      </c>
      <c r="Y181" s="3066">
        <v>120</v>
      </c>
      <c r="Z181" s="3066" t="s">
        <v>3568</v>
      </c>
      <c r="AA181" s="3066" t="s">
        <v>3560</v>
      </c>
      <c r="AB181" s="3066" t="s">
        <v>3642</v>
      </c>
      <c r="AC181" s="3066" t="s">
        <v>3642</v>
      </c>
      <c r="AD181" s="3066" t="s">
        <v>3642</v>
      </c>
      <c r="AE181" s="3066" t="s">
        <v>3560</v>
      </c>
      <c r="AF181" s="3067">
        <v>100</v>
      </c>
      <c r="AG181" s="3066">
        <v>100</v>
      </c>
      <c r="AH181" s="3066">
        <v>10</v>
      </c>
      <c r="AI181" s="3066">
        <v>10</v>
      </c>
      <c r="AJ181" s="3066">
        <v>27.14</v>
      </c>
      <c r="AK181" s="3066">
        <v>27.14</v>
      </c>
      <c r="AL181" s="3066">
        <v>137.13999999999999</v>
      </c>
      <c r="AM181" s="3066">
        <v>137.13999999999999</v>
      </c>
      <c r="AN181" s="3066" t="s">
        <v>3560</v>
      </c>
      <c r="AP181" s="3068">
        <f t="shared" si="2"/>
        <v>2.7027027027027026</v>
      </c>
    </row>
    <row r="182" spans="2:42" ht="27" customHeight="1">
      <c r="B182" s="3066">
        <v>190</v>
      </c>
      <c r="C182" s="3066" t="s">
        <v>4002</v>
      </c>
      <c r="D182" s="3066" t="s">
        <v>3901</v>
      </c>
      <c r="E182" s="3066" t="s">
        <v>4263</v>
      </c>
      <c r="F182" s="3066" t="s">
        <v>3917</v>
      </c>
      <c r="G182" s="3066" t="s">
        <v>1373</v>
      </c>
      <c r="H182" s="3066" t="s">
        <v>3560</v>
      </c>
      <c r="I182" s="3066" t="s">
        <v>4264</v>
      </c>
      <c r="J182" s="3066" t="s">
        <v>4264</v>
      </c>
      <c r="K182" s="3066" t="s">
        <v>3560</v>
      </c>
      <c r="L182" s="3066" t="s">
        <v>4265</v>
      </c>
      <c r="M182" s="3066" t="s">
        <v>4266</v>
      </c>
      <c r="N182" s="3066">
        <v>37</v>
      </c>
      <c r="O182" s="3066" t="s">
        <v>4064</v>
      </c>
      <c r="P182" s="3066" t="s">
        <v>3566</v>
      </c>
      <c r="Q182" s="3066">
        <v>5</v>
      </c>
      <c r="R182" s="3066">
        <v>0</v>
      </c>
      <c r="S182" s="3066" t="s">
        <v>3577</v>
      </c>
      <c r="T182" s="3066">
        <v>2.7</v>
      </c>
      <c r="U182" s="3066">
        <v>100</v>
      </c>
      <c r="V182" s="3066" t="s">
        <v>3560</v>
      </c>
      <c r="W182" s="3066" t="s">
        <v>3568</v>
      </c>
      <c r="X182" s="3066">
        <v>0.27</v>
      </c>
      <c r="Y182" s="3066">
        <v>120</v>
      </c>
      <c r="Z182" s="3066" t="s">
        <v>3568</v>
      </c>
      <c r="AA182" s="3066" t="s">
        <v>3560</v>
      </c>
      <c r="AB182" s="3066" t="s">
        <v>3642</v>
      </c>
      <c r="AC182" s="3066" t="s">
        <v>3642</v>
      </c>
      <c r="AD182" s="3066" t="s">
        <v>3642</v>
      </c>
      <c r="AE182" s="3066" t="s">
        <v>3560</v>
      </c>
      <c r="AF182" s="3067">
        <v>100</v>
      </c>
      <c r="AG182" s="3066">
        <v>100</v>
      </c>
      <c r="AH182" s="3066">
        <v>10</v>
      </c>
      <c r="AI182" s="3066">
        <v>10</v>
      </c>
      <c r="AJ182" s="3066">
        <v>78.069999999999993</v>
      </c>
      <c r="AK182" s="3066">
        <v>78.069999999999993</v>
      </c>
      <c r="AL182" s="3066">
        <v>188.07</v>
      </c>
      <c r="AM182" s="3066">
        <v>188.07</v>
      </c>
      <c r="AN182" s="3066" t="s">
        <v>3560</v>
      </c>
      <c r="AP182" s="3068">
        <f t="shared" si="2"/>
        <v>2.7027027027027026</v>
      </c>
    </row>
    <row r="183" spans="2:42" ht="27" customHeight="1">
      <c r="B183" s="3066">
        <v>191</v>
      </c>
      <c r="C183" s="3066" t="s">
        <v>4002</v>
      </c>
      <c r="D183" s="3066" t="s">
        <v>3901</v>
      </c>
      <c r="E183" s="3066" t="s">
        <v>4267</v>
      </c>
      <c r="F183" s="3066" t="s">
        <v>3917</v>
      </c>
      <c r="G183" s="3066" t="s">
        <v>1373</v>
      </c>
      <c r="H183" s="3066" t="s">
        <v>3560</v>
      </c>
      <c r="I183" s="3066" t="s">
        <v>4268</v>
      </c>
      <c r="J183" s="3066" t="s">
        <v>4268</v>
      </c>
      <c r="K183" s="3066" t="s">
        <v>3560</v>
      </c>
      <c r="L183" s="3066" t="s">
        <v>4269</v>
      </c>
      <c r="M183" s="3066" t="s">
        <v>4270</v>
      </c>
      <c r="N183" s="3066">
        <v>37</v>
      </c>
      <c r="O183" s="3066" t="s">
        <v>4064</v>
      </c>
      <c r="P183" s="3066" t="s">
        <v>3566</v>
      </c>
      <c r="Q183" s="3066">
        <v>5</v>
      </c>
      <c r="R183" s="3066">
        <v>0</v>
      </c>
      <c r="S183" s="3066" t="s">
        <v>3577</v>
      </c>
      <c r="T183" s="3066">
        <v>2.7</v>
      </c>
      <c r="U183" s="3066">
        <v>100</v>
      </c>
      <c r="V183" s="3066" t="s">
        <v>3560</v>
      </c>
      <c r="W183" s="3066" t="s">
        <v>3568</v>
      </c>
      <c r="X183" s="3066">
        <v>0.27</v>
      </c>
      <c r="Y183" s="3066">
        <v>120</v>
      </c>
      <c r="Z183" s="3066" t="s">
        <v>3568</v>
      </c>
      <c r="AA183" s="3066" t="s">
        <v>3560</v>
      </c>
      <c r="AB183" s="3066" t="s">
        <v>3642</v>
      </c>
      <c r="AC183" s="3066" t="s">
        <v>3642</v>
      </c>
      <c r="AD183" s="3066" t="s">
        <v>3642</v>
      </c>
      <c r="AE183" s="3066" t="s">
        <v>3560</v>
      </c>
      <c r="AF183" s="3067">
        <v>100</v>
      </c>
      <c r="AG183" s="3066">
        <v>100</v>
      </c>
      <c r="AH183" s="3066">
        <v>10</v>
      </c>
      <c r="AI183" s="3066">
        <v>10</v>
      </c>
      <c r="AJ183" s="3066">
        <v>28.66</v>
      </c>
      <c r="AK183" s="3066">
        <v>28.66</v>
      </c>
      <c r="AL183" s="3066">
        <v>138.66</v>
      </c>
      <c r="AM183" s="3066">
        <v>138.66</v>
      </c>
      <c r="AN183" s="3066" t="s">
        <v>3560</v>
      </c>
      <c r="AP183" s="3068">
        <f t="shared" si="2"/>
        <v>2.7027027027027026</v>
      </c>
    </row>
    <row r="184" spans="2:42" ht="27" customHeight="1">
      <c r="B184" s="3066">
        <v>192</v>
      </c>
      <c r="C184" s="3066" t="s">
        <v>4002</v>
      </c>
      <c r="D184" s="3066" t="s">
        <v>3901</v>
      </c>
      <c r="E184" s="3066" t="s">
        <v>4271</v>
      </c>
      <c r="F184" s="3066" t="s">
        <v>3917</v>
      </c>
      <c r="G184" s="3066" t="s">
        <v>1373</v>
      </c>
      <c r="H184" s="3066" t="s">
        <v>3560</v>
      </c>
      <c r="I184" s="3066" t="s">
        <v>3668</v>
      </c>
      <c r="J184" s="3066" t="s">
        <v>3668</v>
      </c>
      <c r="K184" s="3066" t="s">
        <v>3560</v>
      </c>
      <c r="L184" s="3066" t="s">
        <v>3669</v>
      </c>
      <c r="M184" s="3066" t="s">
        <v>4272</v>
      </c>
      <c r="N184" s="3066">
        <v>37</v>
      </c>
      <c r="O184" s="3066" t="s">
        <v>3583</v>
      </c>
      <c r="P184" s="3066" t="s">
        <v>3566</v>
      </c>
      <c r="Q184" s="3066">
        <v>0</v>
      </c>
      <c r="R184" s="3066">
        <v>11346</v>
      </c>
      <c r="S184" s="3066" t="s">
        <v>3567</v>
      </c>
      <c r="T184" s="3066">
        <v>21</v>
      </c>
      <c r="U184" s="3066">
        <v>777</v>
      </c>
      <c r="V184" s="3066" t="s">
        <v>3560</v>
      </c>
      <c r="W184" s="3066" t="s">
        <v>3568</v>
      </c>
      <c r="X184" s="3066">
        <v>2</v>
      </c>
      <c r="Y184" s="3066">
        <v>888</v>
      </c>
      <c r="Z184" s="3066" t="s">
        <v>3568</v>
      </c>
      <c r="AA184" s="3066" t="s">
        <v>3560</v>
      </c>
      <c r="AB184" s="3066" t="s">
        <v>3584</v>
      </c>
      <c r="AC184" s="3066" t="s">
        <v>3584</v>
      </c>
      <c r="AD184" s="3066" t="s">
        <v>3584</v>
      </c>
      <c r="AE184" s="3066" t="s">
        <v>3560</v>
      </c>
      <c r="AF184" s="3067">
        <v>777</v>
      </c>
      <c r="AG184" s="3066">
        <v>0</v>
      </c>
      <c r="AH184" s="3066">
        <v>74</v>
      </c>
      <c r="AI184" s="3066">
        <v>0</v>
      </c>
      <c r="AJ184" s="3066">
        <v>137.66999999999999</v>
      </c>
      <c r="AK184" s="3066">
        <v>0</v>
      </c>
      <c r="AL184" s="3066">
        <v>988.67</v>
      </c>
      <c r="AM184" s="3066">
        <v>0</v>
      </c>
      <c r="AN184" s="3066" t="s">
        <v>3560</v>
      </c>
      <c r="AP184" s="3068">
        <f t="shared" si="2"/>
        <v>21</v>
      </c>
    </row>
    <row r="185" spans="2:42" ht="27" customHeight="1">
      <c r="B185" s="3066">
        <v>193</v>
      </c>
      <c r="C185" s="3066" t="s">
        <v>4002</v>
      </c>
      <c r="D185" s="3066" t="s">
        <v>3901</v>
      </c>
      <c r="E185" s="3066" t="s">
        <v>4273</v>
      </c>
      <c r="F185" s="3066" t="s">
        <v>3917</v>
      </c>
      <c r="G185" s="3066" t="s">
        <v>1373</v>
      </c>
      <c r="H185" s="3066" t="s">
        <v>3560</v>
      </c>
      <c r="I185" s="3066" t="s">
        <v>4274</v>
      </c>
      <c r="J185" s="3066" t="s">
        <v>4274</v>
      </c>
      <c r="K185" s="3066" t="s">
        <v>3560</v>
      </c>
      <c r="L185" s="3066" t="s">
        <v>4275</v>
      </c>
      <c r="M185" s="3066" t="s">
        <v>4276</v>
      </c>
      <c r="N185" s="3066">
        <v>37</v>
      </c>
      <c r="O185" s="3066" t="s">
        <v>4064</v>
      </c>
      <c r="P185" s="3066" t="s">
        <v>3566</v>
      </c>
      <c r="Q185" s="3066">
        <v>5</v>
      </c>
      <c r="R185" s="3066">
        <v>0</v>
      </c>
      <c r="S185" s="3066" t="s">
        <v>3577</v>
      </c>
      <c r="T185" s="3066">
        <v>2.7</v>
      </c>
      <c r="U185" s="3066">
        <v>100</v>
      </c>
      <c r="V185" s="3066" t="s">
        <v>3560</v>
      </c>
      <c r="W185" s="3066" t="s">
        <v>3568</v>
      </c>
      <c r="X185" s="3066">
        <v>0.27</v>
      </c>
      <c r="Y185" s="3066">
        <v>120</v>
      </c>
      <c r="Z185" s="3066" t="s">
        <v>3568</v>
      </c>
      <c r="AA185" s="3066" t="s">
        <v>3560</v>
      </c>
      <c r="AB185" s="3066" t="s">
        <v>3642</v>
      </c>
      <c r="AC185" s="3066" t="s">
        <v>3642</v>
      </c>
      <c r="AD185" s="3066" t="s">
        <v>3642</v>
      </c>
      <c r="AE185" s="3066" t="s">
        <v>3560</v>
      </c>
      <c r="AF185" s="3067">
        <v>100</v>
      </c>
      <c r="AG185" s="3066">
        <v>100</v>
      </c>
      <c r="AH185" s="3066">
        <v>10</v>
      </c>
      <c r="AI185" s="3066">
        <v>10</v>
      </c>
      <c r="AJ185" s="3066">
        <v>28.33</v>
      </c>
      <c r="AK185" s="3066">
        <v>28.33</v>
      </c>
      <c r="AL185" s="3066">
        <v>138.33000000000001</v>
      </c>
      <c r="AM185" s="3066">
        <v>138.33000000000001</v>
      </c>
      <c r="AN185" s="3066" t="s">
        <v>3560</v>
      </c>
      <c r="AP185" s="3068">
        <f t="shared" si="2"/>
        <v>2.7027027027027026</v>
      </c>
    </row>
    <row r="186" spans="2:42" ht="27" customHeight="1">
      <c r="B186" s="3066">
        <v>194</v>
      </c>
      <c r="C186" s="3066" t="s">
        <v>4002</v>
      </c>
      <c r="D186" s="3066" t="s">
        <v>3901</v>
      </c>
      <c r="E186" s="3066" t="s">
        <v>4277</v>
      </c>
      <c r="F186" s="3066" t="s">
        <v>3917</v>
      </c>
      <c r="G186" s="3066" t="s">
        <v>1373</v>
      </c>
      <c r="H186" s="3066" t="s">
        <v>3560</v>
      </c>
      <c r="I186" s="3066" t="s">
        <v>4278</v>
      </c>
      <c r="J186" s="3066" t="s">
        <v>4278</v>
      </c>
      <c r="K186" s="3066" t="s">
        <v>3560</v>
      </c>
      <c r="L186" s="3066" t="s">
        <v>4279</v>
      </c>
      <c r="M186" s="3066" t="s">
        <v>4280</v>
      </c>
      <c r="N186" s="3066">
        <v>37</v>
      </c>
      <c r="O186" s="3066" t="s">
        <v>4064</v>
      </c>
      <c r="P186" s="3066" t="s">
        <v>3566</v>
      </c>
      <c r="Q186" s="3066">
        <v>5</v>
      </c>
      <c r="R186" s="3066">
        <v>1779</v>
      </c>
      <c r="S186" s="3066" t="s">
        <v>3567</v>
      </c>
      <c r="T186" s="3066">
        <v>5.41</v>
      </c>
      <c r="U186" s="3066">
        <v>200</v>
      </c>
      <c r="V186" s="3066" t="s">
        <v>3560</v>
      </c>
      <c r="W186" s="3066" t="s">
        <v>3568</v>
      </c>
      <c r="X186" s="3066">
        <v>0.27</v>
      </c>
      <c r="Y186" s="3066">
        <v>120</v>
      </c>
      <c r="Z186" s="3066" t="s">
        <v>3568</v>
      </c>
      <c r="AA186" s="3066" t="s">
        <v>3560</v>
      </c>
      <c r="AB186" s="3066" t="s">
        <v>3642</v>
      </c>
      <c r="AC186" s="3066" t="s">
        <v>3642</v>
      </c>
      <c r="AD186" s="3066" t="s">
        <v>3642</v>
      </c>
      <c r="AE186" s="3066" t="s">
        <v>3560</v>
      </c>
      <c r="AF186" s="3067">
        <v>200</v>
      </c>
      <c r="AG186" s="3066">
        <v>200</v>
      </c>
      <c r="AH186" s="3066">
        <v>10</v>
      </c>
      <c r="AI186" s="3066">
        <v>10</v>
      </c>
      <c r="AJ186" s="3066">
        <v>28.6</v>
      </c>
      <c r="AK186" s="3066">
        <v>28.6</v>
      </c>
      <c r="AL186" s="3066">
        <v>238.6</v>
      </c>
      <c r="AM186" s="3066">
        <v>238.6</v>
      </c>
      <c r="AN186" s="3066" t="s">
        <v>3560</v>
      </c>
      <c r="AP186" s="3068">
        <f t="shared" si="2"/>
        <v>5.4054054054054053</v>
      </c>
    </row>
    <row r="187" spans="2:42" ht="27" customHeight="1">
      <c r="B187" s="3066">
        <v>195</v>
      </c>
      <c r="C187" s="3066" t="s">
        <v>4002</v>
      </c>
      <c r="D187" s="3066" t="s">
        <v>3901</v>
      </c>
      <c r="E187" s="3066" t="s">
        <v>4281</v>
      </c>
      <c r="F187" s="3066" t="s">
        <v>3917</v>
      </c>
      <c r="G187" s="3066" t="s">
        <v>1373</v>
      </c>
      <c r="H187" s="3066" t="s">
        <v>3560</v>
      </c>
      <c r="I187" s="3066" t="s">
        <v>4282</v>
      </c>
      <c r="J187" s="3066" t="s">
        <v>4282</v>
      </c>
      <c r="K187" s="3066" t="s">
        <v>3560</v>
      </c>
      <c r="L187" s="3066" t="s">
        <v>4283</v>
      </c>
      <c r="M187" s="3066" t="s">
        <v>4284</v>
      </c>
      <c r="N187" s="3066">
        <v>37</v>
      </c>
      <c r="O187" s="3066" t="s">
        <v>3608</v>
      </c>
      <c r="P187" s="3066" t="s">
        <v>3566</v>
      </c>
      <c r="Q187" s="3066">
        <v>1</v>
      </c>
      <c r="R187" s="3066">
        <v>3295</v>
      </c>
      <c r="S187" s="3066" t="s">
        <v>3567</v>
      </c>
      <c r="T187" s="3066">
        <v>20</v>
      </c>
      <c r="U187" s="3066">
        <v>740</v>
      </c>
      <c r="V187" s="3066" t="s">
        <v>3560</v>
      </c>
      <c r="W187" s="3066" t="s">
        <v>3568</v>
      </c>
      <c r="X187" s="3066">
        <v>2.27</v>
      </c>
      <c r="Y187" s="3066">
        <v>1008</v>
      </c>
      <c r="Z187" s="3066" t="s">
        <v>3568</v>
      </c>
      <c r="AA187" s="3066" t="s">
        <v>3560</v>
      </c>
      <c r="AB187" s="3066" t="s">
        <v>3609</v>
      </c>
      <c r="AC187" s="3066" t="s">
        <v>3609</v>
      </c>
      <c r="AD187" s="3066" t="s">
        <v>3609</v>
      </c>
      <c r="AE187" s="3066" t="s">
        <v>3560</v>
      </c>
      <c r="AF187" s="3067">
        <v>740</v>
      </c>
      <c r="AG187" s="3066">
        <v>740</v>
      </c>
      <c r="AH187" s="3066">
        <v>84</v>
      </c>
      <c r="AI187" s="3066">
        <v>84</v>
      </c>
      <c r="AJ187" s="3066">
        <v>27.2</v>
      </c>
      <c r="AK187" s="3066">
        <v>27.2</v>
      </c>
      <c r="AL187" s="3066">
        <v>851.2</v>
      </c>
      <c r="AM187" s="3066">
        <v>851.2</v>
      </c>
      <c r="AN187" s="3066" t="s">
        <v>3560</v>
      </c>
      <c r="AP187" s="3068">
        <f t="shared" si="2"/>
        <v>20</v>
      </c>
    </row>
    <row r="188" spans="2:42" ht="27" customHeight="1">
      <c r="B188" s="3066">
        <v>196</v>
      </c>
      <c r="C188" s="3066" t="s">
        <v>4002</v>
      </c>
      <c r="D188" s="3066" t="s">
        <v>3901</v>
      </c>
      <c r="E188" s="3066" t="s">
        <v>4285</v>
      </c>
      <c r="F188" s="3066" t="s">
        <v>3917</v>
      </c>
      <c r="G188" s="3066" t="s">
        <v>3560</v>
      </c>
      <c r="H188" s="3066" t="s">
        <v>3560</v>
      </c>
      <c r="I188" s="3066" t="s">
        <v>3560</v>
      </c>
      <c r="J188" s="3066" t="s">
        <v>3560</v>
      </c>
      <c r="K188" s="3066" t="s">
        <v>3560</v>
      </c>
      <c r="L188" s="3066" t="s">
        <v>3560</v>
      </c>
      <c r="M188" s="3066" t="s">
        <v>4286</v>
      </c>
      <c r="N188" s="3066">
        <v>37</v>
      </c>
      <c r="O188" s="3066" t="s">
        <v>3560</v>
      </c>
      <c r="P188" s="3066" t="s">
        <v>3560</v>
      </c>
      <c r="Q188" s="3066">
        <v>0</v>
      </c>
      <c r="R188" s="3066">
        <v>0</v>
      </c>
      <c r="S188" s="3066" t="s">
        <v>3577</v>
      </c>
      <c r="T188" s="3066">
        <v>0</v>
      </c>
      <c r="U188" s="3066">
        <v>0</v>
      </c>
      <c r="V188" s="3066" t="s">
        <v>3560</v>
      </c>
      <c r="W188" s="3066" t="s">
        <v>3568</v>
      </c>
      <c r="X188" s="3066">
        <v>0</v>
      </c>
      <c r="Y188" s="3066">
        <v>0</v>
      </c>
      <c r="Z188" s="3066" t="s">
        <v>3568</v>
      </c>
      <c r="AA188" s="3066" t="s">
        <v>3560</v>
      </c>
      <c r="AB188" s="3066" t="s">
        <v>3560</v>
      </c>
      <c r="AC188" s="3066" t="s">
        <v>3560</v>
      </c>
      <c r="AD188" s="3066" t="s">
        <v>3560</v>
      </c>
      <c r="AE188" s="3066" t="s">
        <v>3560</v>
      </c>
      <c r="AF188" s="3067">
        <v>0</v>
      </c>
      <c r="AG188" s="3066">
        <v>0</v>
      </c>
      <c r="AH188" s="3066">
        <v>0</v>
      </c>
      <c r="AI188" s="3066">
        <v>0</v>
      </c>
      <c r="AJ188" s="3066">
        <v>0</v>
      </c>
      <c r="AK188" s="3066">
        <v>0</v>
      </c>
      <c r="AL188" s="3066">
        <v>0</v>
      </c>
      <c r="AM188" s="3066">
        <v>0</v>
      </c>
      <c r="AN188" s="3066" t="s">
        <v>3560</v>
      </c>
      <c r="AP188" s="3068">
        <f t="shared" si="2"/>
        <v>0</v>
      </c>
    </row>
    <row r="189" spans="2:42" ht="27" customHeight="1">
      <c r="B189" s="3066">
        <v>197</v>
      </c>
      <c r="C189" s="3066" t="s">
        <v>4002</v>
      </c>
      <c r="D189" s="3066" t="s">
        <v>3901</v>
      </c>
      <c r="E189" s="3066" t="s">
        <v>4287</v>
      </c>
      <c r="F189" s="3066" t="s">
        <v>3917</v>
      </c>
      <c r="G189" s="3066" t="s">
        <v>1373</v>
      </c>
      <c r="H189" s="3066" t="s">
        <v>3560</v>
      </c>
      <c r="I189" s="3066" t="s">
        <v>4288</v>
      </c>
      <c r="J189" s="3066" t="s">
        <v>4288</v>
      </c>
      <c r="K189" s="3066" t="s">
        <v>3560</v>
      </c>
      <c r="L189" s="3066" t="s">
        <v>4289</v>
      </c>
      <c r="M189" s="3066" t="s">
        <v>4290</v>
      </c>
      <c r="N189" s="3066">
        <v>37</v>
      </c>
      <c r="O189" s="3066" t="s">
        <v>4064</v>
      </c>
      <c r="P189" s="3066" t="s">
        <v>3566</v>
      </c>
      <c r="Q189" s="3066">
        <v>5</v>
      </c>
      <c r="R189" s="3066">
        <v>0</v>
      </c>
      <c r="S189" s="3066" t="s">
        <v>3577</v>
      </c>
      <c r="T189" s="3066">
        <v>2.7</v>
      </c>
      <c r="U189" s="3066">
        <v>100</v>
      </c>
      <c r="V189" s="3066" t="s">
        <v>3560</v>
      </c>
      <c r="W189" s="3066" t="s">
        <v>3568</v>
      </c>
      <c r="X189" s="3066">
        <v>0.27</v>
      </c>
      <c r="Y189" s="3066">
        <v>120</v>
      </c>
      <c r="Z189" s="3066" t="s">
        <v>3568</v>
      </c>
      <c r="AA189" s="3066" t="s">
        <v>3560</v>
      </c>
      <c r="AB189" s="3066" t="s">
        <v>3642</v>
      </c>
      <c r="AC189" s="3066" t="s">
        <v>3642</v>
      </c>
      <c r="AD189" s="3066" t="s">
        <v>3642</v>
      </c>
      <c r="AE189" s="3066" t="s">
        <v>3560</v>
      </c>
      <c r="AF189" s="3067">
        <v>100</v>
      </c>
      <c r="AG189" s="3066">
        <v>100</v>
      </c>
      <c r="AH189" s="3066">
        <v>10</v>
      </c>
      <c r="AI189" s="3066">
        <v>10</v>
      </c>
      <c r="AJ189" s="3066">
        <v>23</v>
      </c>
      <c r="AK189" s="3066">
        <v>23</v>
      </c>
      <c r="AL189" s="3066">
        <v>133</v>
      </c>
      <c r="AM189" s="3066">
        <v>133</v>
      </c>
      <c r="AN189" s="3066" t="s">
        <v>3560</v>
      </c>
      <c r="AP189" s="3068">
        <f t="shared" si="2"/>
        <v>2.7027027027027026</v>
      </c>
    </row>
    <row r="190" spans="2:42" ht="27" customHeight="1">
      <c r="B190" s="3066">
        <v>198</v>
      </c>
      <c r="C190" s="3066" t="s">
        <v>4002</v>
      </c>
      <c r="D190" s="3066" t="s">
        <v>3901</v>
      </c>
      <c r="E190" s="3066" t="s">
        <v>4291</v>
      </c>
      <c r="F190" s="3066" t="s">
        <v>3917</v>
      </c>
      <c r="G190" s="3066" t="s">
        <v>1373</v>
      </c>
      <c r="H190" s="3066" t="s">
        <v>3560</v>
      </c>
      <c r="I190" s="3066" t="s">
        <v>4292</v>
      </c>
      <c r="J190" s="3066" t="s">
        <v>4292</v>
      </c>
      <c r="K190" s="3066" t="s">
        <v>3560</v>
      </c>
      <c r="L190" s="3066" t="s">
        <v>4293</v>
      </c>
      <c r="M190" s="3066" t="s">
        <v>4294</v>
      </c>
      <c r="N190" s="3066">
        <v>37</v>
      </c>
      <c r="O190" s="3066" t="s">
        <v>3785</v>
      </c>
      <c r="P190" s="3066" t="s">
        <v>3566</v>
      </c>
      <c r="Q190" s="3066">
        <v>1</v>
      </c>
      <c r="R190" s="3066">
        <v>824</v>
      </c>
      <c r="S190" s="3066" t="s">
        <v>3567</v>
      </c>
      <c r="T190" s="3066">
        <v>20</v>
      </c>
      <c r="U190" s="3066">
        <v>740</v>
      </c>
      <c r="V190" s="3066" t="s">
        <v>3560</v>
      </c>
      <c r="W190" s="3066" t="s">
        <v>3568</v>
      </c>
      <c r="X190" s="3066">
        <v>2.27</v>
      </c>
      <c r="Y190" s="3066">
        <v>1008</v>
      </c>
      <c r="Z190" s="3066" t="s">
        <v>3568</v>
      </c>
      <c r="AA190" s="3066" t="s">
        <v>3560</v>
      </c>
      <c r="AB190" s="3066" t="s">
        <v>3591</v>
      </c>
      <c r="AC190" s="3066" t="s">
        <v>3591</v>
      </c>
      <c r="AD190" s="3066" t="s">
        <v>3591</v>
      </c>
      <c r="AE190" s="3066" t="s">
        <v>3560</v>
      </c>
      <c r="AF190" s="3067">
        <v>740</v>
      </c>
      <c r="AG190" s="3066">
        <v>0</v>
      </c>
      <c r="AH190" s="3066">
        <v>84</v>
      </c>
      <c r="AI190" s="3066">
        <v>0</v>
      </c>
      <c r="AJ190" s="3066">
        <v>46.15</v>
      </c>
      <c r="AK190" s="3066">
        <v>0</v>
      </c>
      <c r="AL190" s="3066">
        <v>870.15</v>
      </c>
      <c r="AM190" s="3066">
        <v>0</v>
      </c>
      <c r="AN190" s="3066" t="s">
        <v>3560</v>
      </c>
      <c r="AP190" s="3068">
        <f t="shared" si="2"/>
        <v>20</v>
      </c>
    </row>
    <row r="191" spans="2:42" ht="27" customHeight="1">
      <c r="B191" s="3066">
        <v>199</v>
      </c>
      <c r="C191" s="3066" t="s">
        <v>4002</v>
      </c>
      <c r="D191" s="3066" t="s">
        <v>3901</v>
      </c>
      <c r="E191" s="3066" t="s">
        <v>4295</v>
      </c>
      <c r="F191" s="3066" t="s">
        <v>3917</v>
      </c>
      <c r="G191" s="3066" t="s">
        <v>1373</v>
      </c>
      <c r="H191" s="3066" t="s">
        <v>3560</v>
      </c>
      <c r="I191" s="3066" t="s">
        <v>4292</v>
      </c>
      <c r="J191" s="3066" t="s">
        <v>4292</v>
      </c>
      <c r="K191" s="3066" t="s">
        <v>3560</v>
      </c>
      <c r="L191" s="3066" t="s">
        <v>4293</v>
      </c>
      <c r="M191" s="3066" t="s">
        <v>4296</v>
      </c>
      <c r="N191" s="3066">
        <v>43</v>
      </c>
      <c r="O191" s="3066" t="s">
        <v>4064</v>
      </c>
      <c r="P191" s="3066" t="s">
        <v>3566</v>
      </c>
      <c r="Q191" s="3066">
        <v>5</v>
      </c>
      <c r="R191" s="3066">
        <v>0</v>
      </c>
      <c r="S191" s="3066" t="s">
        <v>3577</v>
      </c>
      <c r="T191" s="3066">
        <v>2.33</v>
      </c>
      <c r="U191" s="3066">
        <v>100</v>
      </c>
      <c r="V191" s="3066" t="s">
        <v>3560</v>
      </c>
      <c r="W191" s="3066" t="s">
        <v>3568</v>
      </c>
      <c r="X191" s="3066">
        <v>0.23</v>
      </c>
      <c r="Y191" s="3066">
        <v>120</v>
      </c>
      <c r="Z191" s="3066" t="s">
        <v>3568</v>
      </c>
      <c r="AA191" s="3066" t="s">
        <v>3560</v>
      </c>
      <c r="AB191" s="3066" t="s">
        <v>3642</v>
      </c>
      <c r="AC191" s="3066" t="s">
        <v>3642</v>
      </c>
      <c r="AD191" s="3066" t="s">
        <v>3642</v>
      </c>
      <c r="AE191" s="3066" t="s">
        <v>3560</v>
      </c>
      <c r="AF191" s="3067">
        <v>100</v>
      </c>
      <c r="AG191" s="3066">
        <v>100</v>
      </c>
      <c r="AH191" s="3066">
        <v>10</v>
      </c>
      <c r="AI191" s="3066">
        <v>10</v>
      </c>
      <c r="AJ191" s="3066">
        <v>27.7</v>
      </c>
      <c r="AK191" s="3066">
        <v>27.7</v>
      </c>
      <c r="AL191" s="3066">
        <v>137.69999999999999</v>
      </c>
      <c r="AM191" s="3066">
        <v>137.69999999999999</v>
      </c>
      <c r="AN191" s="3066" t="s">
        <v>3560</v>
      </c>
      <c r="AP191" s="3068">
        <f t="shared" si="2"/>
        <v>2.3255813953488373</v>
      </c>
    </row>
    <row r="192" spans="2:42" ht="27" customHeight="1">
      <c r="B192" s="3066">
        <v>200</v>
      </c>
      <c r="C192" s="3066" t="s">
        <v>3142</v>
      </c>
      <c r="D192" s="3066" t="s">
        <v>4003</v>
      </c>
      <c r="E192" s="3066" t="s">
        <v>4297</v>
      </c>
      <c r="F192" s="3066" t="s">
        <v>3917</v>
      </c>
      <c r="G192" s="3066" t="s">
        <v>3560</v>
      </c>
      <c r="H192" s="3066" t="s">
        <v>3560</v>
      </c>
      <c r="I192" s="3066" t="s">
        <v>3560</v>
      </c>
      <c r="J192" s="3066" t="s">
        <v>3560</v>
      </c>
      <c r="K192" s="3066" t="s">
        <v>3560</v>
      </c>
      <c r="L192" s="3066" t="s">
        <v>3560</v>
      </c>
      <c r="M192" s="3066" t="s">
        <v>4298</v>
      </c>
      <c r="N192" s="3066">
        <v>0</v>
      </c>
      <c r="O192" s="3066" t="s">
        <v>3560</v>
      </c>
      <c r="P192" s="3066" t="s">
        <v>3560</v>
      </c>
      <c r="Q192" s="3066">
        <v>0</v>
      </c>
      <c r="R192" s="3066">
        <v>0</v>
      </c>
      <c r="S192" s="3066" t="s">
        <v>3577</v>
      </c>
      <c r="T192" s="3066">
        <v>0</v>
      </c>
      <c r="U192" s="3066">
        <v>0</v>
      </c>
      <c r="V192" s="3066" t="s">
        <v>3560</v>
      </c>
      <c r="W192" s="3066" t="s">
        <v>3568</v>
      </c>
      <c r="X192" s="3066">
        <v>0</v>
      </c>
      <c r="Y192" s="3066">
        <v>0</v>
      </c>
      <c r="Z192" s="3066" t="s">
        <v>3568</v>
      </c>
      <c r="AA192" s="3066" t="s">
        <v>3560</v>
      </c>
      <c r="AB192" s="3066" t="s">
        <v>3560</v>
      </c>
      <c r="AC192" s="3066" t="s">
        <v>3560</v>
      </c>
      <c r="AD192" s="3066" t="s">
        <v>3560</v>
      </c>
      <c r="AE192" s="3066" t="s">
        <v>3560</v>
      </c>
      <c r="AF192" s="3067">
        <v>0</v>
      </c>
      <c r="AG192" s="3066">
        <v>0</v>
      </c>
      <c r="AH192" s="3066">
        <v>0</v>
      </c>
      <c r="AI192" s="3066">
        <v>0</v>
      </c>
      <c r="AJ192" s="3066">
        <v>0</v>
      </c>
      <c r="AK192" s="3066">
        <v>0</v>
      </c>
      <c r="AL192" s="3066">
        <v>0</v>
      </c>
      <c r="AM192" s="3066">
        <v>0</v>
      </c>
      <c r="AN192" s="3066" t="s">
        <v>3560</v>
      </c>
      <c r="AP192" s="3068" t="e">
        <f t="shared" si="2"/>
        <v>#DIV/0!</v>
      </c>
    </row>
    <row r="193" spans="2:42" ht="27" customHeight="1">
      <c r="B193" s="3066">
        <v>201</v>
      </c>
      <c r="C193" s="3066" t="s">
        <v>3142</v>
      </c>
      <c r="D193" s="3066" t="s">
        <v>4003</v>
      </c>
      <c r="E193" s="3066" t="s">
        <v>4299</v>
      </c>
      <c r="F193" s="3066" t="s">
        <v>3917</v>
      </c>
      <c r="G193" s="3066" t="s">
        <v>3560</v>
      </c>
      <c r="H193" s="3066" t="s">
        <v>3560</v>
      </c>
      <c r="I193" s="3066" t="s">
        <v>3560</v>
      </c>
      <c r="J193" s="3066" t="s">
        <v>3560</v>
      </c>
      <c r="K193" s="3066" t="s">
        <v>3560</v>
      </c>
      <c r="L193" s="3066" t="s">
        <v>3560</v>
      </c>
      <c r="M193" s="3066" t="s">
        <v>4300</v>
      </c>
      <c r="N193" s="3066">
        <v>0</v>
      </c>
      <c r="O193" s="3066" t="s">
        <v>3560</v>
      </c>
      <c r="P193" s="3066" t="s">
        <v>3560</v>
      </c>
      <c r="Q193" s="3066">
        <v>0</v>
      </c>
      <c r="R193" s="3066">
        <v>0</v>
      </c>
      <c r="S193" s="3066" t="s">
        <v>3577</v>
      </c>
      <c r="T193" s="3066">
        <v>0</v>
      </c>
      <c r="U193" s="3066">
        <v>0</v>
      </c>
      <c r="V193" s="3066" t="s">
        <v>3560</v>
      </c>
      <c r="W193" s="3066" t="s">
        <v>3568</v>
      </c>
      <c r="X193" s="3066">
        <v>0</v>
      </c>
      <c r="Y193" s="3066">
        <v>0</v>
      </c>
      <c r="Z193" s="3066" t="s">
        <v>3568</v>
      </c>
      <c r="AA193" s="3066" t="s">
        <v>3560</v>
      </c>
      <c r="AB193" s="3066" t="s">
        <v>3560</v>
      </c>
      <c r="AC193" s="3066" t="s">
        <v>3560</v>
      </c>
      <c r="AD193" s="3066" t="s">
        <v>3560</v>
      </c>
      <c r="AE193" s="3066" t="s">
        <v>3560</v>
      </c>
      <c r="AF193" s="3067">
        <v>0</v>
      </c>
      <c r="AG193" s="3066">
        <v>0</v>
      </c>
      <c r="AH193" s="3066">
        <v>0</v>
      </c>
      <c r="AI193" s="3066">
        <v>0</v>
      </c>
      <c r="AJ193" s="3066">
        <v>0</v>
      </c>
      <c r="AK193" s="3066">
        <v>0</v>
      </c>
      <c r="AL193" s="3066">
        <v>0</v>
      </c>
      <c r="AM193" s="3066">
        <v>0</v>
      </c>
      <c r="AN193" s="3066" t="s">
        <v>3560</v>
      </c>
      <c r="AP193" s="3068" t="e">
        <f t="shared" si="2"/>
        <v>#DIV/0!</v>
      </c>
    </row>
    <row r="194" spans="2:42" ht="27" customHeight="1">
      <c r="B194" s="3066">
        <v>202</v>
      </c>
      <c r="C194" s="3066" t="s">
        <v>3142</v>
      </c>
      <c r="D194" s="3066" t="s">
        <v>4003</v>
      </c>
      <c r="E194" s="3066" t="s">
        <v>4301</v>
      </c>
      <c r="F194" s="3066" t="s">
        <v>3917</v>
      </c>
      <c r="G194" s="3066" t="s">
        <v>3560</v>
      </c>
      <c r="H194" s="3066" t="s">
        <v>3560</v>
      </c>
      <c r="I194" s="3066" t="s">
        <v>3560</v>
      </c>
      <c r="J194" s="3066" t="s">
        <v>3560</v>
      </c>
      <c r="K194" s="3066" t="s">
        <v>3560</v>
      </c>
      <c r="L194" s="3066" t="s">
        <v>3560</v>
      </c>
      <c r="M194" s="3066" t="s">
        <v>4302</v>
      </c>
      <c r="N194" s="3066">
        <v>0</v>
      </c>
      <c r="O194" s="3066" t="s">
        <v>3560</v>
      </c>
      <c r="P194" s="3066" t="s">
        <v>3560</v>
      </c>
      <c r="Q194" s="3066">
        <v>0</v>
      </c>
      <c r="R194" s="3066">
        <v>0</v>
      </c>
      <c r="S194" s="3066" t="s">
        <v>3577</v>
      </c>
      <c r="T194" s="3066">
        <v>0</v>
      </c>
      <c r="U194" s="3066">
        <v>0</v>
      </c>
      <c r="V194" s="3066" t="s">
        <v>3560</v>
      </c>
      <c r="W194" s="3066" t="s">
        <v>3568</v>
      </c>
      <c r="X194" s="3066">
        <v>0</v>
      </c>
      <c r="Y194" s="3066">
        <v>0</v>
      </c>
      <c r="Z194" s="3066" t="s">
        <v>3568</v>
      </c>
      <c r="AA194" s="3066" t="s">
        <v>3560</v>
      </c>
      <c r="AB194" s="3066" t="s">
        <v>3560</v>
      </c>
      <c r="AC194" s="3066" t="s">
        <v>3560</v>
      </c>
      <c r="AD194" s="3066" t="s">
        <v>3560</v>
      </c>
      <c r="AE194" s="3066" t="s">
        <v>3560</v>
      </c>
      <c r="AF194" s="3067">
        <v>0</v>
      </c>
      <c r="AG194" s="3066">
        <v>0</v>
      </c>
      <c r="AH194" s="3066">
        <v>0</v>
      </c>
      <c r="AI194" s="3066">
        <v>0</v>
      </c>
      <c r="AJ194" s="3066">
        <v>0</v>
      </c>
      <c r="AK194" s="3066">
        <v>0</v>
      </c>
      <c r="AL194" s="3066">
        <v>0</v>
      </c>
      <c r="AM194" s="3066">
        <v>0</v>
      </c>
      <c r="AN194" s="3066" t="s">
        <v>3560</v>
      </c>
      <c r="AP194" s="3068" t="e">
        <f t="shared" si="2"/>
        <v>#DIV/0!</v>
      </c>
    </row>
    <row r="195" spans="2:42" ht="27" customHeight="1">
      <c r="B195" s="3066">
        <v>203</v>
      </c>
      <c r="C195" s="3066" t="s">
        <v>3142</v>
      </c>
      <c r="D195" s="3066" t="s">
        <v>4003</v>
      </c>
      <c r="E195" s="3066" t="s">
        <v>4303</v>
      </c>
      <c r="F195" s="3066" t="s">
        <v>3917</v>
      </c>
      <c r="G195" s="3066" t="s">
        <v>3560</v>
      </c>
      <c r="H195" s="3066" t="s">
        <v>3560</v>
      </c>
      <c r="I195" s="3066" t="s">
        <v>3560</v>
      </c>
      <c r="J195" s="3066" t="s">
        <v>3560</v>
      </c>
      <c r="K195" s="3066" t="s">
        <v>3560</v>
      </c>
      <c r="L195" s="3066" t="s">
        <v>3560</v>
      </c>
      <c r="M195" s="3066" t="s">
        <v>4304</v>
      </c>
      <c r="N195" s="3066">
        <v>0</v>
      </c>
      <c r="O195" s="3066" t="s">
        <v>3560</v>
      </c>
      <c r="P195" s="3066" t="s">
        <v>3560</v>
      </c>
      <c r="Q195" s="3066">
        <v>0</v>
      </c>
      <c r="R195" s="3066">
        <v>0</v>
      </c>
      <c r="S195" s="3066" t="s">
        <v>3577</v>
      </c>
      <c r="T195" s="3066">
        <v>0</v>
      </c>
      <c r="U195" s="3066">
        <v>0</v>
      </c>
      <c r="V195" s="3066" t="s">
        <v>3560</v>
      </c>
      <c r="W195" s="3066" t="s">
        <v>3568</v>
      </c>
      <c r="X195" s="3066">
        <v>0</v>
      </c>
      <c r="Y195" s="3066">
        <v>0</v>
      </c>
      <c r="Z195" s="3066" t="s">
        <v>3568</v>
      </c>
      <c r="AA195" s="3066" t="s">
        <v>3560</v>
      </c>
      <c r="AB195" s="3066" t="s">
        <v>3560</v>
      </c>
      <c r="AC195" s="3066" t="s">
        <v>3560</v>
      </c>
      <c r="AD195" s="3066" t="s">
        <v>3560</v>
      </c>
      <c r="AE195" s="3066" t="s">
        <v>3560</v>
      </c>
      <c r="AF195" s="3067">
        <v>0</v>
      </c>
      <c r="AG195" s="3066">
        <v>0</v>
      </c>
      <c r="AH195" s="3066">
        <v>0</v>
      </c>
      <c r="AI195" s="3066">
        <v>0</v>
      </c>
      <c r="AJ195" s="3066">
        <v>0</v>
      </c>
      <c r="AK195" s="3066">
        <v>0</v>
      </c>
      <c r="AL195" s="3066">
        <v>0</v>
      </c>
      <c r="AM195" s="3066">
        <v>0</v>
      </c>
      <c r="AN195" s="3066" t="s">
        <v>3560</v>
      </c>
      <c r="AP195" s="3068" t="e">
        <f t="shared" si="2"/>
        <v>#DIV/0!</v>
      </c>
    </row>
    <row r="196" spans="2:42" ht="27" customHeight="1">
      <c r="B196" s="3066">
        <v>204</v>
      </c>
      <c r="C196" s="3066" t="s">
        <v>3142</v>
      </c>
      <c r="D196" s="3066" t="s">
        <v>4003</v>
      </c>
      <c r="E196" s="3066" t="s">
        <v>4305</v>
      </c>
      <c r="F196" s="3066" t="s">
        <v>3917</v>
      </c>
      <c r="G196" s="3066" t="s">
        <v>3560</v>
      </c>
      <c r="H196" s="3066" t="s">
        <v>3560</v>
      </c>
      <c r="I196" s="3066" t="s">
        <v>3560</v>
      </c>
      <c r="J196" s="3066" t="s">
        <v>3560</v>
      </c>
      <c r="K196" s="3066" t="s">
        <v>3560</v>
      </c>
      <c r="L196" s="3066" t="s">
        <v>3560</v>
      </c>
      <c r="M196" s="3066" t="s">
        <v>4306</v>
      </c>
      <c r="N196" s="3066">
        <v>0</v>
      </c>
      <c r="O196" s="3066" t="s">
        <v>3560</v>
      </c>
      <c r="P196" s="3066" t="s">
        <v>3560</v>
      </c>
      <c r="Q196" s="3066">
        <v>0</v>
      </c>
      <c r="R196" s="3066">
        <v>0</v>
      </c>
      <c r="S196" s="3066" t="s">
        <v>3577</v>
      </c>
      <c r="T196" s="3066">
        <v>0</v>
      </c>
      <c r="U196" s="3066">
        <v>0</v>
      </c>
      <c r="V196" s="3066" t="s">
        <v>3560</v>
      </c>
      <c r="W196" s="3066" t="s">
        <v>3568</v>
      </c>
      <c r="X196" s="3066">
        <v>0</v>
      </c>
      <c r="Y196" s="3066">
        <v>0</v>
      </c>
      <c r="Z196" s="3066" t="s">
        <v>3568</v>
      </c>
      <c r="AA196" s="3066" t="s">
        <v>3560</v>
      </c>
      <c r="AB196" s="3066" t="s">
        <v>3560</v>
      </c>
      <c r="AC196" s="3066" t="s">
        <v>3560</v>
      </c>
      <c r="AD196" s="3066" t="s">
        <v>3560</v>
      </c>
      <c r="AE196" s="3066" t="s">
        <v>3560</v>
      </c>
      <c r="AF196" s="3067">
        <v>0</v>
      </c>
      <c r="AG196" s="3066">
        <v>0</v>
      </c>
      <c r="AH196" s="3066">
        <v>0</v>
      </c>
      <c r="AI196" s="3066">
        <v>0</v>
      </c>
      <c r="AJ196" s="3066">
        <v>0</v>
      </c>
      <c r="AK196" s="3066">
        <v>0</v>
      </c>
      <c r="AL196" s="3066">
        <v>0</v>
      </c>
      <c r="AM196" s="3066">
        <v>0</v>
      </c>
      <c r="AN196" s="3066" t="s">
        <v>3560</v>
      </c>
      <c r="AP196" s="3068" t="e">
        <f t="shared" ref="AP196:AP259" si="3">AF196/N196</f>
        <v>#DIV/0!</v>
      </c>
    </row>
    <row r="197" spans="2:42" ht="27" customHeight="1">
      <c r="B197" s="3066">
        <v>205</v>
      </c>
      <c r="C197" s="3066" t="s">
        <v>3142</v>
      </c>
      <c r="D197" s="3066" t="s">
        <v>4003</v>
      </c>
      <c r="E197" s="3066" t="s">
        <v>4307</v>
      </c>
      <c r="F197" s="3066" t="s">
        <v>3917</v>
      </c>
      <c r="G197" s="3066" t="s">
        <v>1373</v>
      </c>
      <c r="H197" s="3066" t="s">
        <v>3560</v>
      </c>
      <c r="I197" s="3066" t="s">
        <v>4308</v>
      </c>
      <c r="J197" s="3066" t="s">
        <v>3560</v>
      </c>
      <c r="K197" s="3066" t="s">
        <v>3560</v>
      </c>
      <c r="L197" s="3066" t="s">
        <v>4309</v>
      </c>
      <c r="M197" s="3066" t="s">
        <v>4310</v>
      </c>
      <c r="N197" s="3066">
        <v>7</v>
      </c>
      <c r="O197" s="3066" t="s">
        <v>4008</v>
      </c>
      <c r="P197" s="3066" t="s">
        <v>3566</v>
      </c>
      <c r="Q197" s="3066">
        <v>1</v>
      </c>
      <c r="R197" s="3066">
        <v>720</v>
      </c>
      <c r="S197" s="3066" t="s">
        <v>3567</v>
      </c>
      <c r="T197" s="3066">
        <v>20</v>
      </c>
      <c r="U197" s="3066">
        <v>240</v>
      </c>
      <c r="V197" s="3066" t="s">
        <v>3560</v>
      </c>
      <c r="W197" s="3066" t="s">
        <v>3568</v>
      </c>
      <c r="X197" s="3066">
        <v>2.83</v>
      </c>
      <c r="Y197" s="3066">
        <v>408</v>
      </c>
      <c r="Z197" s="3066" t="s">
        <v>3568</v>
      </c>
      <c r="AA197" s="3066" t="s">
        <v>3560</v>
      </c>
      <c r="AB197" s="3066" t="s">
        <v>3692</v>
      </c>
      <c r="AC197" s="3066" t="s">
        <v>3692</v>
      </c>
      <c r="AD197" s="3066" t="s">
        <v>3692</v>
      </c>
      <c r="AE197" s="3066" t="s">
        <v>3560</v>
      </c>
      <c r="AF197" s="3067">
        <v>140</v>
      </c>
      <c r="AG197" s="3066">
        <v>140</v>
      </c>
      <c r="AH197" s="3066">
        <v>24</v>
      </c>
      <c r="AI197" s="3066">
        <v>24</v>
      </c>
      <c r="AJ197" s="3066">
        <v>0</v>
      </c>
      <c r="AK197" s="3066">
        <v>0</v>
      </c>
      <c r="AL197" s="3066">
        <v>164</v>
      </c>
      <c r="AM197" s="3066">
        <v>164</v>
      </c>
      <c r="AN197" s="3066" t="s">
        <v>3560</v>
      </c>
      <c r="AP197" s="3068">
        <f t="shared" si="3"/>
        <v>20</v>
      </c>
    </row>
    <row r="198" spans="2:42" ht="27" customHeight="1">
      <c r="B198" s="3066">
        <v>206</v>
      </c>
      <c r="C198" s="3066" t="s">
        <v>3142</v>
      </c>
      <c r="D198" s="3066" t="s">
        <v>4019</v>
      </c>
      <c r="E198" s="3066" t="s">
        <v>4311</v>
      </c>
      <c r="F198" s="3066" t="s">
        <v>3917</v>
      </c>
      <c r="G198" s="3066" t="s">
        <v>4312</v>
      </c>
      <c r="H198" s="3066" t="s">
        <v>3560</v>
      </c>
      <c r="I198" s="3066" t="s">
        <v>4313</v>
      </c>
      <c r="J198" s="3066" t="s">
        <v>4313</v>
      </c>
      <c r="K198" s="3066" t="s">
        <v>3560</v>
      </c>
      <c r="L198" s="3066" t="s">
        <v>4314</v>
      </c>
      <c r="M198" s="3066" t="s">
        <v>4315</v>
      </c>
      <c r="N198" s="3066">
        <v>37.5</v>
      </c>
      <c r="O198" s="3066" t="s">
        <v>3608</v>
      </c>
      <c r="P198" s="3066" t="s">
        <v>3566</v>
      </c>
      <c r="Q198" s="3066">
        <v>1</v>
      </c>
      <c r="R198" s="3066">
        <v>5655</v>
      </c>
      <c r="S198" s="3066" t="s">
        <v>3567</v>
      </c>
      <c r="T198" s="3066">
        <v>48</v>
      </c>
      <c r="U198" s="3066">
        <v>1800</v>
      </c>
      <c r="V198" s="3066" t="s">
        <v>3560</v>
      </c>
      <c r="W198" s="3066" t="s">
        <v>3568</v>
      </c>
      <c r="X198" s="3066">
        <v>2.27</v>
      </c>
      <c r="Y198" s="3066">
        <v>1020</v>
      </c>
      <c r="Z198" s="3066" t="s">
        <v>3568</v>
      </c>
      <c r="AA198" s="3066" t="s">
        <v>3560</v>
      </c>
      <c r="AB198" s="3066" t="s">
        <v>3609</v>
      </c>
      <c r="AC198" s="3066" t="s">
        <v>3609</v>
      </c>
      <c r="AD198" s="3066" t="s">
        <v>3609</v>
      </c>
      <c r="AE198" s="3066" t="s">
        <v>3560</v>
      </c>
      <c r="AF198" s="3067">
        <v>1800</v>
      </c>
      <c r="AG198" s="3066">
        <v>1800</v>
      </c>
      <c r="AH198" s="3066">
        <v>85</v>
      </c>
      <c r="AI198" s="3066">
        <v>85</v>
      </c>
      <c r="AJ198" s="3066">
        <v>470.21</v>
      </c>
      <c r="AK198" s="3066">
        <v>470.21</v>
      </c>
      <c r="AL198" s="3066">
        <v>2355.21</v>
      </c>
      <c r="AM198" s="3066">
        <v>2355.21</v>
      </c>
      <c r="AN198" s="3066" t="s">
        <v>3560</v>
      </c>
      <c r="AP198" s="3068">
        <f t="shared" si="3"/>
        <v>48</v>
      </c>
    </row>
    <row r="199" spans="2:42" ht="27" customHeight="1">
      <c r="B199" s="3066">
        <v>207</v>
      </c>
      <c r="C199" s="3066" t="s">
        <v>3142</v>
      </c>
      <c r="D199" s="3066" t="s">
        <v>4019</v>
      </c>
      <c r="E199" s="3066" t="s">
        <v>4316</v>
      </c>
      <c r="F199" s="3066" t="s">
        <v>3917</v>
      </c>
      <c r="G199" s="3066" t="s">
        <v>3560</v>
      </c>
      <c r="H199" s="3066" t="s">
        <v>3560</v>
      </c>
      <c r="I199" s="3066" t="s">
        <v>4317</v>
      </c>
      <c r="J199" s="3066" t="s">
        <v>4317</v>
      </c>
      <c r="K199" s="3066" t="s">
        <v>3560</v>
      </c>
      <c r="L199" s="3066" t="s">
        <v>4318</v>
      </c>
      <c r="M199" s="3066" t="s">
        <v>4319</v>
      </c>
      <c r="N199" s="3066">
        <v>37.5</v>
      </c>
      <c r="O199" s="3066" t="s">
        <v>3619</v>
      </c>
      <c r="P199" s="3066" t="s">
        <v>3745</v>
      </c>
      <c r="Q199" s="3066">
        <v>1</v>
      </c>
      <c r="R199" s="3066">
        <v>5625</v>
      </c>
      <c r="S199" s="3066" t="s">
        <v>3567</v>
      </c>
      <c r="T199" s="3066">
        <v>48</v>
      </c>
      <c r="U199" s="3066">
        <v>1800</v>
      </c>
      <c r="V199" s="3066" t="s">
        <v>3560</v>
      </c>
      <c r="W199" s="3066" t="s">
        <v>3568</v>
      </c>
      <c r="X199" s="3066">
        <v>2.27</v>
      </c>
      <c r="Y199" s="3066">
        <v>1020</v>
      </c>
      <c r="Z199" s="3066" t="s">
        <v>3568</v>
      </c>
      <c r="AA199" s="3066" t="s">
        <v>3560</v>
      </c>
      <c r="AB199" s="3066" t="s">
        <v>3584</v>
      </c>
      <c r="AC199" s="3066" t="s">
        <v>3584</v>
      </c>
      <c r="AD199" s="3066" t="s">
        <v>3584</v>
      </c>
      <c r="AE199" s="3066" t="s">
        <v>3560</v>
      </c>
      <c r="AF199" s="3067">
        <v>1800</v>
      </c>
      <c r="AG199" s="3066">
        <v>0</v>
      </c>
      <c r="AH199" s="3066">
        <v>85</v>
      </c>
      <c r="AI199" s="3066">
        <v>0</v>
      </c>
      <c r="AJ199" s="3066">
        <v>148.71</v>
      </c>
      <c r="AK199" s="3066">
        <v>0</v>
      </c>
      <c r="AL199" s="3066">
        <v>2033.71</v>
      </c>
      <c r="AM199" s="3066">
        <v>0</v>
      </c>
      <c r="AN199" s="3066" t="s">
        <v>3560</v>
      </c>
      <c r="AP199" s="3068">
        <f t="shared" si="3"/>
        <v>48</v>
      </c>
    </row>
    <row r="200" spans="2:42" ht="27" customHeight="1">
      <c r="B200" s="3066">
        <v>208</v>
      </c>
      <c r="C200" s="3066" t="s">
        <v>3142</v>
      </c>
      <c r="D200" s="3066" t="s">
        <v>4019</v>
      </c>
      <c r="E200" s="3066" t="s">
        <v>4320</v>
      </c>
      <c r="F200" s="3066" t="s">
        <v>3917</v>
      </c>
      <c r="G200" s="3066" t="s">
        <v>1373</v>
      </c>
      <c r="H200" s="3066" t="s">
        <v>3560</v>
      </c>
      <c r="I200" s="3066" t="s">
        <v>4165</v>
      </c>
      <c r="J200" s="3066" t="s">
        <v>4165</v>
      </c>
      <c r="K200" s="3066" t="s">
        <v>3560</v>
      </c>
      <c r="L200" s="3066" t="s">
        <v>4166</v>
      </c>
      <c r="M200" s="3066" t="s">
        <v>4321</v>
      </c>
      <c r="N200" s="3066">
        <v>37.5</v>
      </c>
      <c r="O200" s="3066" t="s">
        <v>3619</v>
      </c>
      <c r="P200" s="3066" t="s">
        <v>3566</v>
      </c>
      <c r="Q200" s="3066">
        <v>1</v>
      </c>
      <c r="R200" s="3066">
        <v>1905</v>
      </c>
      <c r="S200" s="3066" t="s">
        <v>3567</v>
      </c>
      <c r="T200" s="3066">
        <v>48</v>
      </c>
      <c r="U200" s="3066">
        <v>1800</v>
      </c>
      <c r="V200" s="3066" t="s">
        <v>3560</v>
      </c>
      <c r="W200" s="3066" t="s">
        <v>3568</v>
      </c>
      <c r="X200" s="3066">
        <v>2.27</v>
      </c>
      <c r="Y200" s="3066">
        <v>1020</v>
      </c>
      <c r="Z200" s="3066" t="s">
        <v>3568</v>
      </c>
      <c r="AA200" s="3066" t="s">
        <v>3560</v>
      </c>
      <c r="AB200" s="3066" t="s">
        <v>3584</v>
      </c>
      <c r="AC200" s="3066" t="s">
        <v>3584</v>
      </c>
      <c r="AD200" s="3066" t="s">
        <v>3584</v>
      </c>
      <c r="AE200" s="3066" t="s">
        <v>3560</v>
      </c>
      <c r="AF200" s="3067">
        <v>1800</v>
      </c>
      <c r="AG200" s="3066">
        <v>1800</v>
      </c>
      <c r="AH200" s="3066">
        <v>85</v>
      </c>
      <c r="AI200" s="3066">
        <v>85</v>
      </c>
      <c r="AJ200" s="3066">
        <v>82.2</v>
      </c>
      <c r="AK200" s="3066">
        <v>82.2</v>
      </c>
      <c r="AL200" s="3066">
        <v>1967.2</v>
      </c>
      <c r="AM200" s="3066">
        <v>1967.2</v>
      </c>
      <c r="AN200" s="3066" t="s">
        <v>3560</v>
      </c>
      <c r="AP200" s="3068">
        <f t="shared" si="3"/>
        <v>48</v>
      </c>
    </row>
    <row r="201" spans="2:42" ht="27" customHeight="1">
      <c r="B201" s="3066">
        <v>209</v>
      </c>
      <c r="C201" s="3066" t="s">
        <v>3142</v>
      </c>
      <c r="D201" s="3066" t="s">
        <v>4019</v>
      </c>
      <c r="E201" s="3066" t="s">
        <v>4322</v>
      </c>
      <c r="F201" s="3066" t="s">
        <v>3917</v>
      </c>
      <c r="G201" s="3066" t="s">
        <v>1373</v>
      </c>
      <c r="H201" s="3066" t="s">
        <v>3560</v>
      </c>
      <c r="I201" s="3066" t="s">
        <v>4165</v>
      </c>
      <c r="J201" s="3066" t="s">
        <v>4165</v>
      </c>
      <c r="K201" s="3066" t="s">
        <v>3560</v>
      </c>
      <c r="L201" s="3066" t="s">
        <v>4166</v>
      </c>
      <c r="M201" s="3066" t="s">
        <v>4323</v>
      </c>
      <c r="N201" s="3066">
        <v>37.5</v>
      </c>
      <c r="O201" s="3066" t="s">
        <v>3619</v>
      </c>
      <c r="P201" s="3066" t="s">
        <v>3745</v>
      </c>
      <c r="Q201" s="3066">
        <v>1</v>
      </c>
      <c r="R201" s="3066">
        <v>0</v>
      </c>
      <c r="S201" s="3066" t="s">
        <v>3577</v>
      </c>
      <c r="T201" s="3066">
        <v>48</v>
      </c>
      <c r="U201" s="3066">
        <v>1800</v>
      </c>
      <c r="V201" s="3066" t="s">
        <v>3560</v>
      </c>
      <c r="W201" s="3066" t="s">
        <v>3568</v>
      </c>
      <c r="X201" s="3066">
        <v>2.27</v>
      </c>
      <c r="Y201" s="3066">
        <v>1020</v>
      </c>
      <c r="Z201" s="3066" t="s">
        <v>3568</v>
      </c>
      <c r="AA201" s="3066" t="s">
        <v>3560</v>
      </c>
      <c r="AB201" s="3066" t="s">
        <v>3584</v>
      </c>
      <c r="AC201" s="3066" t="s">
        <v>3584</v>
      </c>
      <c r="AD201" s="3066" t="s">
        <v>3584</v>
      </c>
      <c r="AE201" s="3066" t="s">
        <v>3560</v>
      </c>
      <c r="AF201" s="3067">
        <v>1800</v>
      </c>
      <c r="AG201" s="3066">
        <v>1800</v>
      </c>
      <c r="AH201" s="3066">
        <v>85</v>
      </c>
      <c r="AI201" s="3066">
        <v>85</v>
      </c>
      <c r="AJ201" s="3066">
        <v>216.34</v>
      </c>
      <c r="AK201" s="3066">
        <v>216.34</v>
      </c>
      <c r="AL201" s="3066">
        <v>2101.34</v>
      </c>
      <c r="AM201" s="3066">
        <v>2101.34</v>
      </c>
      <c r="AN201" s="3066" t="s">
        <v>3560</v>
      </c>
      <c r="AP201" s="3068">
        <f t="shared" si="3"/>
        <v>48</v>
      </c>
    </row>
    <row r="202" spans="2:42" ht="27" customHeight="1">
      <c r="B202" s="3066">
        <v>210</v>
      </c>
      <c r="C202" s="3066" t="s">
        <v>3142</v>
      </c>
      <c r="D202" s="3066" t="s">
        <v>4019</v>
      </c>
      <c r="E202" s="3066" t="s">
        <v>4324</v>
      </c>
      <c r="F202" s="3066" t="s">
        <v>3917</v>
      </c>
      <c r="G202" s="3066" t="s">
        <v>1373</v>
      </c>
      <c r="H202" s="3066" t="s">
        <v>3560</v>
      </c>
      <c r="I202" s="3066" t="s">
        <v>4325</v>
      </c>
      <c r="J202" s="3066" t="s">
        <v>4326</v>
      </c>
      <c r="K202" s="3066" t="s">
        <v>3560</v>
      </c>
      <c r="L202" s="3066" t="s">
        <v>4327</v>
      </c>
      <c r="M202" s="3066" t="s">
        <v>4328</v>
      </c>
      <c r="N202" s="3066">
        <v>37.5</v>
      </c>
      <c r="O202" s="3066" t="s">
        <v>3583</v>
      </c>
      <c r="P202" s="3066" t="s">
        <v>3566</v>
      </c>
      <c r="Q202" s="3066">
        <v>0</v>
      </c>
      <c r="R202" s="3066">
        <v>19028.900000000001</v>
      </c>
      <c r="S202" s="3066" t="s">
        <v>3567</v>
      </c>
      <c r="T202" s="3066">
        <v>40</v>
      </c>
      <c r="U202" s="3066">
        <v>1500</v>
      </c>
      <c r="V202" s="3066" t="s">
        <v>3560</v>
      </c>
      <c r="W202" s="3066" t="s">
        <v>3568</v>
      </c>
      <c r="X202" s="3066">
        <v>2</v>
      </c>
      <c r="Y202" s="3066">
        <v>900</v>
      </c>
      <c r="Z202" s="3066" t="s">
        <v>3568</v>
      </c>
      <c r="AA202" s="3066" t="s">
        <v>3560</v>
      </c>
      <c r="AB202" s="3066" t="s">
        <v>3584</v>
      </c>
      <c r="AC202" s="3066" t="s">
        <v>3584</v>
      </c>
      <c r="AD202" s="3066" t="s">
        <v>3584</v>
      </c>
      <c r="AE202" s="3066" t="s">
        <v>3560</v>
      </c>
      <c r="AF202" s="3067">
        <v>1500</v>
      </c>
      <c r="AG202" s="3066">
        <v>0</v>
      </c>
      <c r="AH202" s="3066">
        <v>75</v>
      </c>
      <c r="AI202" s="3066">
        <v>0</v>
      </c>
      <c r="AJ202" s="3066">
        <v>39.89</v>
      </c>
      <c r="AK202" s="3066">
        <v>0</v>
      </c>
      <c r="AL202" s="3066">
        <v>1614.89</v>
      </c>
      <c r="AM202" s="3066">
        <v>0</v>
      </c>
      <c r="AN202" s="3066" t="s">
        <v>3560</v>
      </c>
      <c r="AP202" s="3068">
        <f t="shared" si="3"/>
        <v>40</v>
      </c>
    </row>
    <row r="203" spans="2:42" ht="27" customHeight="1">
      <c r="B203" s="3066">
        <v>211</v>
      </c>
      <c r="C203" s="3066" t="s">
        <v>3142</v>
      </c>
      <c r="D203" s="3066" t="s">
        <v>4019</v>
      </c>
      <c r="E203" s="3066" t="s">
        <v>4329</v>
      </c>
      <c r="F203" s="3066" t="s">
        <v>3917</v>
      </c>
      <c r="G203" s="3066" t="s">
        <v>1373</v>
      </c>
      <c r="H203" s="3066" t="s">
        <v>3560</v>
      </c>
      <c r="I203" s="3066" t="s">
        <v>4325</v>
      </c>
      <c r="J203" s="3066" t="s">
        <v>4326</v>
      </c>
      <c r="K203" s="3066" t="s">
        <v>3560</v>
      </c>
      <c r="L203" s="3066" t="s">
        <v>4327</v>
      </c>
      <c r="M203" s="3066" t="s">
        <v>4330</v>
      </c>
      <c r="N203" s="3066">
        <v>37.5</v>
      </c>
      <c r="O203" s="3066" t="s">
        <v>3583</v>
      </c>
      <c r="P203" s="3066" t="s">
        <v>3566</v>
      </c>
      <c r="Q203" s="3066">
        <v>0</v>
      </c>
      <c r="R203" s="3066">
        <v>455.35</v>
      </c>
      <c r="S203" s="3066" t="s">
        <v>3567</v>
      </c>
      <c r="T203" s="3066">
        <v>40</v>
      </c>
      <c r="U203" s="3066">
        <v>1500</v>
      </c>
      <c r="V203" s="3066" t="s">
        <v>3560</v>
      </c>
      <c r="W203" s="3066" t="s">
        <v>3568</v>
      </c>
      <c r="X203" s="3066">
        <v>2</v>
      </c>
      <c r="Y203" s="3066">
        <v>900</v>
      </c>
      <c r="Z203" s="3066" t="s">
        <v>3568</v>
      </c>
      <c r="AA203" s="3066" t="s">
        <v>3560</v>
      </c>
      <c r="AB203" s="3066" t="s">
        <v>3584</v>
      </c>
      <c r="AC203" s="3066" t="s">
        <v>3584</v>
      </c>
      <c r="AD203" s="3066" t="s">
        <v>3584</v>
      </c>
      <c r="AE203" s="3066" t="s">
        <v>3560</v>
      </c>
      <c r="AF203" s="3067">
        <v>1500</v>
      </c>
      <c r="AG203" s="3066">
        <v>0</v>
      </c>
      <c r="AH203" s="3066">
        <v>75</v>
      </c>
      <c r="AI203" s="3066">
        <v>0</v>
      </c>
      <c r="AJ203" s="3066">
        <v>5.87</v>
      </c>
      <c r="AK203" s="3066">
        <v>0</v>
      </c>
      <c r="AL203" s="3066">
        <v>1580.87</v>
      </c>
      <c r="AM203" s="3066">
        <v>0</v>
      </c>
      <c r="AN203" s="3066" t="s">
        <v>3560</v>
      </c>
      <c r="AP203" s="3068">
        <f t="shared" si="3"/>
        <v>40</v>
      </c>
    </row>
    <row r="204" spans="2:42" ht="27" customHeight="1">
      <c r="B204" s="3066">
        <v>212</v>
      </c>
      <c r="C204" s="3066" t="s">
        <v>3142</v>
      </c>
      <c r="D204" s="3066" t="s">
        <v>4019</v>
      </c>
      <c r="E204" s="3066" t="s">
        <v>4331</v>
      </c>
      <c r="F204" s="3066" t="s">
        <v>3917</v>
      </c>
      <c r="G204" s="3066" t="s">
        <v>3560</v>
      </c>
      <c r="H204" s="3066" t="s">
        <v>3560</v>
      </c>
      <c r="I204" s="3066" t="s">
        <v>4332</v>
      </c>
      <c r="J204" s="3066" t="s">
        <v>4332</v>
      </c>
      <c r="K204" s="3066" t="s">
        <v>3560</v>
      </c>
      <c r="L204" s="3066" t="s">
        <v>4333</v>
      </c>
      <c r="M204" s="3066" t="s">
        <v>4334</v>
      </c>
      <c r="N204" s="3066">
        <v>37.5</v>
      </c>
      <c r="O204" s="3066" t="s">
        <v>4335</v>
      </c>
      <c r="P204" s="3066" t="s">
        <v>3566</v>
      </c>
      <c r="Q204" s="3066">
        <v>0</v>
      </c>
      <c r="R204" s="3066">
        <v>11310</v>
      </c>
      <c r="S204" s="3066" t="s">
        <v>3567</v>
      </c>
      <c r="T204" s="3066">
        <v>48</v>
      </c>
      <c r="U204" s="3066">
        <v>1800</v>
      </c>
      <c r="V204" s="3066" t="s">
        <v>3560</v>
      </c>
      <c r="W204" s="3066" t="s">
        <v>3568</v>
      </c>
      <c r="X204" s="3066">
        <v>2.27</v>
      </c>
      <c r="Y204" s="3066">
        <v>1020</v>
      </c>
      <c r="Z204" s="3066" t="s">
        <v>3568</v>
      </c>
      <c r="AA204" s="3066" t="s">
        <v>3560</v>
      </c>
      <c r="AB204" s="3066" t="s">
        <v>4336</v>
      </c>
      <c r="AC204" s="3066" t="s">
        <v>4336</v>
      </c>
      <c r="AD204" s="3066" t="s">
        <v>4336</v>
      </c>
      <c r="AE204" s="3066" t="s">
        <v>3560</v>
      </c>
      <c r="AF204" s="3067">
        <v>1800</v>
      </c>
      <c r="AG204" s="3066">
        <v>1800</v>
      </c>
      <c r="AH204" s="3066">
        <v>85</v>
      </c>
      <c r="AI204" s="3066">
        <v>85</v>
      </c>
      <c r="AJ204" s="3066">
        <v>14.28</v>
      </c>
      <c r="AK204" s="3066">
        <v>14.28</v>
      </c>
      <c r="AL204" s="3066">
        <v>1899.28</v>
      </c>
      <c r="AM204" s="3066">
        <v>1899.28</v>
      </c>
      <c r="AN204" s="3066" t="s">
        <v>3560</v>
      </c>
      <c r="AP204" s="3068">
        <f t="shared" si="3"/>
        <v>48</v>
      </c>
    </row>
    <row r="205" spans="2:42" ht="27" customHeight="1">
      <c r="B205" s="3066">
        <v>213</v>
      </c>
      <c r="C205" s="3066" t="s">
        <v>3142</v>
      </c>
      <c r="D205" s="3066" t="s">
        <v>4019</v>
      </c>
      <c r="E205" s="3066" t="s">
        <v>4337</v>
      </c>
      <c r="F205" s="3066" t="s">
        <v>3917</v>
      </c>
      <c r="G205" s="3066" t="s">
        <v>3560</v>
      </c>
      <c r="H205" s="3066" t="s">
        <v>3560</v>
      </c>
      <c r="I205" s="3066" t="s">
        <v>4332</v>
      </c>
      <c r="J205" s="3066" t="s">
        <v>4332</v>
      </c>
      <c r="K205" s="3066" t="s">
        <v>3560</v>
      </c>
      <c r="L205" s="3066" t="s">
        <v>4333</v>
      </c>
      <c r="M205" s="3066" t="s">
        <v>4338</v>
      </c>
      <c r="N205" s="3066">
        <v>37.5</v>
      </c>
      <c r="O205" s="3066" t="s">
        <v>4335</v>
      </c>
      <c r="P205" s="3066" t="s">
        <v>3566</v>
      </c>
      <c r="Q205" s="3066">
        <v>0</v>
      </c>
      <c r="R205" s="3066">
        <v>0</v>
      </c>
      <c r="S205" s="3066" t="s">
        <v>3577</v>
      </c>
      <c r="T205" s="3066">
        <v>48</v>
      </c>
      <c r="U205" s="3066">
        <v>1800</v>
      </c>
      <c r="V205" s="3066" t="s">
        <v>3560</v>
      </c>
      <c r="W205" s="3066" t="s">
        <v>3568</v>
      </c>
      <c r="X205" s="3066">
        <v>2.27</v>
      </c>
      <c r="Y205" s="3066">
        <v>1020</v>
      </c>
      <c r="Z205" s="3066" t="s">
        <v>3568</v>
      </c>
      <c r="AA205" s="3066" t="s">
        <v>3560</v>
      </c>
      <c r="AB205" s="3066" t="s">
        <v>4336</v>
      </c>
      <c r="AC205" s="3066" t="s">
        <v>4336</v>
      </c>
      <c r="AD205" s="3066" t="s">
        <v>4336</v>
      </c>
      <c r="AE205" s="3066" t="s">
        <v>3560</v>
      </c>
      <c r="AF205" s="3067">
        <v>1800</v>
      </c>
      <c r="AG205" s="3066">
        <v>1800</v>
      </c>
      <c r="AH205" s="3066">
        <v>85</v>
      </c>
      <c r="AI205" s="3066">
        <v>85</v>
      </c>
      <c r="AJ205" s="3066">
        <v>5.87</v>
      </c>
      <c r="AK205" s="3066">
        <v>5.87</v>
      </c>
      <c r="AL205" s="3066">
        <v>1890.87</v>
      </c>
      <c r="AM205" s="3066">
        <v>1890.87</v>
      </c>
      <c r="AN205" s="3066" t="s">
        <v>3560</v>
      </c>
      <c r="AP205" s="3068">
        <f t="shared" si="3"/>
        <v>48</v>
      </c>
    </row>
    <row r="206" spans="2:42" ht="27" customHeight="1">
      <c r="B206" s="3066">
        <v>214</v>
      </c>
      <c r="C206" s="3066" t="s">
        <v>3142</v>
      </c>
      <c r="D206" s="3066" t="s">
        <v>4019</v>
      </c>
      <c r="E206" s="3066" t="s">
        <v>4339</v>
      </c>
      <c r="F206" s="3066" t="s">
        <v>3917</v>
      </c>
      <c r="G206" s="3066" t="s">
        <v>3560</v>
      </c>
      <c r="H206" s="3066" t="s">
        <v>3560</v>
      </c>
      <c r="I206" s="3066" t="s">
        <v>4340</v>
      </c>
      <c r="J206" s="3066" t="s">
        <v>4340</v>
      </c>
      <c r="K206" s="3066" t="s">
        <v>3560</v>
      </c>
      <c r="L206" s="3066" t="s">
        <v>4341</v>
      </c>
      <c r="M206" s="3066" t="s">
        <v>4342</v>
      </c>
      <c r="N206" s="3066">
        <v>37.5</v>
      </c>
      <c r="O206" s="3066" t="s">
        <v>4343</v>
      </c>
      <c r="P206" s="3066" t="s">
        <v>3566</v>
      </c>
      <c r="Q206" s="3066">
        <v>0</v>
      </c>
      <c r="R206" s="3066">
        <v>5655</v>
      </c>
      <c r="S206" s="3066" t="s">
        <v>3567</v>
      </c>
      <c r="T206" s="3066">
        <v>48</v>
      </c>
      <c r="U206" s="3066">
        <v>1800</v>
      </c>
      <c r="V206" s="3066" t="s">
        <v>3560</v>
      </c>
      <c r="W206" s="3066" t="s">
        <v>3568</v>
      </c>
      <c r="X206" s="3066">
        <v>2.27</v>
      </c>
      <c r="Y206" s="3066">
        <v>1020</v>
      </c>
      <c r="Z206" s="3066" t="s">
        <v>3568</v>
      </c>
      <c r="AA206" s="3066" t="s">
        <v>3560</v>
      </c>
      <c r="AB206" s="3066" t="s">
        <v>4344</v>
      </c>
      <c r="AC206" s="3066" t="s">
        <v>4344</v>
      </c>
      <c r="AD206" s="3066" t="s">
        <v>4344</v>
      </c>
      <c r="AE206" s="3066" t="s">
        <v>3560</v>
      </c>
      <c r="AF206" s="3067">
        <v>3077.42</v>
      </c>
      <c r="AG206" s="3066">
        <v>3077.42</v>
      </c>
      <c r="AH206" s="3066">
        <v>145.33000000000001</v>
      </c>
      <c r="AI206" s="3066">
        <v>145.33000000000001</v>
      </c>
      <c r="AJ206" s="3066">
        <v>0</v>
      </c>
      <c r="AK206" s="3066">
        <v>0</v>
      </c>
      <c r="AL206" s="3066">
        <v>3222.75</v>
      </c>
      <c r="AM206" s="3066">
        <v>3222.75</v>
      </c>
      <c r="AN206" s="3066" t="s">
        <v>3560</v>
      </c>
      <c r="AP206" s="3068">
        <f t="shared" si="3"/>
        <v>82.06453333333333</v>
      </c>
    </row>
    <row r="207" spans="2:42" ht="27" customHeight="1">
      <c r="B207" s="3066">
        <v>215</v>
      </c>
      <c r="C207" s="3066" t="s">
        <v>3142</v>
      </c>
      <c r="D207" s="3066" t="s">
        <v>4019</v>
      </c>
      <c r="E207" s="3066" t="s">
        <v>4345</v>
      </c>
      <c r="F207" s="3066" t="s">
        <v>3917</v>
      </c>
      <c r="G207" s="3066" t="s">
        <v>3560</v>
      </c>
      <c r="H207" s="3066" t="s">
        <v>3560</v>
      </c>
      <c r="I207" s="3066" t="s">
        <v>4346</v>
      </c>
      <c r="J207" s="3066" t="s">
        <v>4347</v>
      </c>
      <c r="K207" s="3066" t="s">
        <v>3560</v>
      </c>
      <c r="L207" s="3066" t="s">
        <v>4348</v>
      </c>
      <c r="M207" s="3066" t="s">
        <v>4349</v>
      </c>
      <c r="N207" s="3066">
        <v>37.5</v>
      </c>
      <c r="O207" s="3066" t="s">
        <v>3810</v>
      </c>
      <c r="P207" s="3066" t="s">
        <v>3566</v>
      </c>
      <c r="Q207" s="3066">
        <v>2</v>
      </c>
      <c r="R207" s="3066">
        <v>5965</v>
      </c>
      <c r="S207" s="3066" t="s">
        <v>3567</v>
      </c>
      <c r="T207" s="3066">
        <v>43</v>
      </c>
      <c r="U207" s="3066">
        <v>1612.5</v>
      </c>
      <c r="V207" s="3066" t="s">
        <v>3560</v>
      </c>
      <c r="W207" s="3066" t="s">
        <v>3568</v>
      </c>
      <c r="X207" s="3066">
        <v>2</v>
      </c>
      <c r="Y207" s="3066">
        <v>900</v>
      </c>
      <c r="Z207" s="3066" t="s">
        <v>3568</v>
      </c>
      <c r="AA207" s="3066" t="s">
        <v>3560</v>
      </c>
      <c r="AB207" s="3066" t="s">
        <v>3811</v>
      </c>
      <c r="AC207" s="3066" t="s">
        <v>3811</v>
      </c>
      <c r="AD207" s="3066" t="s">
        <v>3811</v>
      </c>
      <c r="AE207" s="3066" t="s">
        <v>3560</v>
      </c>
      <c r="AF207" s="3067">
        <v>1773.75</v>
      </c>
      <c r="AG207" s="3066">
        <v>1773.75</v>
      </c>
      <c r="AH207" s="3066">
        <v>75</v>
      </c>
      <c r="AI207" s="3066">
        <v>75</v>
      </c>
      <c r="AJ207" s="3066">
        <v>27.36</v>
      </c>
      <c r="AK207" s="3066">
        <v>27.36</v>
      </c>
      <c r="AL207" s="3066">
        <v>1876.11</v>
      </c>
      <c r="AM207" s="3066">
        <v>1876.11</v>
      </c>
      <c r="AN207" s="3066" t="s">
        <v>3560</v>
      </c>
      <c r="AP207" s="3068">
        <f t="shared" si="3"/>
        <v>47.3</v>
      </c>
    </row>
    <row r="208" spans="2:42" ht="27" customHeight="1">
      <c r="B208" s="3066">
        <v>216</v>
      </c>
      <c r="C208" s="3066" t="s">
        <v>3142</v>
      </c>
      <c r="D208" s="3066" t="s">
        <v>4019</v>
      </c>
      <c r="E208" s="3066" t="s">
        <v>4350</v>
      </c>
      <c r="F208" s="3066" t="s">
        <v>3917</v>
      </c>
      <c r="G208" s="3066" t="s">
        <v>3560</v>
      </c>
      <c r="H208" s="3066" t="s">
        <v>3560</v>
      </c>
      <c r="I208" s="3066" t="s">
        <v>3560</v>
      </c>
      <c r="J208" s="3066" t="s">
        <v>3560</v>
      </c>
      <c r="K208" s="3066" t="s">
        <v>3560</v>
      </c>
      <c r="L208" s="3066" t="s">
        <v>3560</v>
      </c>
      <c r="M208" s="3066" t="s">
        <v>4351</v>
      </c>
      <c r="N208" s="3066">
        <v>37.5</v>
      </c>
      <c r="O208" s="3066" t="s">
        <v>3560</v>
      </c>
      <c r="P208" s="3066" t="s">
        <v>3560</v>
      </c>
      <c r="Q208" s="3066">
        <v>0</v>
      </c>
      <c r="R208" s="3066">
        <v>0</v>
      </c>
      <c r="S208" s="3066" t="s">
        <v>3577</v>
      </c>
      <c r="T208" s="3066">
        <v>0</v>
      </c>
      <c r="U208" s="3066">
        <v>0</v>
      </c>
      <c r="V208" s="3066" t="s">
        <v>3560</v>
      </c>
      <c r="W208" s="3066" t="s">
        <v>3568</v>
      </c>
      <c r="X208" s="3066">
        <v>0</v>
      </c>
      <c r="Y208" s="3066">
        <v>0</v>
      </c>
      <c r="Z208" s="3066" t="s">
        <v>3568</v>
      </c>
      <c r="AA208" s="3066" t="s">
        <v>3560</v>
      </c>
      <c r="AB208" s="3066" t="s">
        <v>3560</v>
      </c>
      <c r="AC208" s="3066" t="s">
        <v>3560</v>
      </c>
      <c r="AD208" s="3066" t="s">
        <v>3560</v>
      </c>
      <c r="AE208" s="3066" t="s">
        <v>3560</v>
      </c>
      <c r="AF208" s="3067">
        <v>0</v>
      </c>
      <c r="AG208" s="3066">
        <v>0</v>
      </c>
      <c r="AH208" s="3066">
        <v>0</v>
      </c>
      <c r="AI208" s="3066">
        <v>0</v>
      </c>
      <c r="AJ208" s="3066">
        <v>0</v>
      </c>
      <c r="AK208" s="3066">
        <v>0</v>
      </c>
      <c r="AL208" s="3066">
        <v>0</v>
      </c>
      <c r="AM208" s="3066">
        <v>0</v>
      </c>
      <c r="AN208" s="3066" t="s">
        <v>3560</v>
      </c>
      <c r="AP208" s="3068">
        <f t="shared" si="3"/>
        <v>0</v>
      </c>
    </row>
    <row r="209" spans="2:42" ht="27" customHeight="1">
      <c r="B209" s="3066">
        <v>217</v>
      </c>
      <c r="C209" s="3066" t="s">
        <v>3142</v>
      </c>
      <c r="D209" s="3066" t="s">
        <v>4019</v>
      </c>
      <c r="E209" s="3066" t="s">
        <v>4352</v>
      </c>
      <c r="F209" s="3066" t="s">
        <v>3917</v>
      </c>
      <c r="G209" s="3066" t="s">
        <v>3560</v>
      </c>
      <c r="H209" s="3066" t="s">
        <v>3560</v>
      </c>
      <c r="I209" s="3066" t="s">
        <v>3560</v>
      </c>
      <c r="J209" s="3066" t="s">
        <v>3560</v>
      </c>
      <c r="K209" s="3066" t="s">
        <v>3560</v>
      </c>
      <c r="L209" s="3066" t="s">
        <v>3560</v>
      </c>
      <c r="M209" s="3066" t="s">
        <v>4353</v>
      </c>
      <c r="N209" s="3066">
        <v>41.5</v>
      </c>
      <c r="O209" s="3066" t="s">
        <v>3560</v>
      </c>
      <c r="P209" s="3066" t="s">
        <v>3560</v>
      </c>
      <c r="Q209" s="3066">
        <v>0</v>
      </c>
      <c r="R209" s="3066">
        <v>0</v>
      </c>
      <c r="S209" s="3066" t="s">
        <v>3577</v>
      </c>
      <c r="T209" s="3066">
        <v>0</v>
      </c>
      <c r="U209" s="3066">
        <v>0</v>
      </c>
      <c r="V209" s="3066" t="s">
        <v>3560</v>
      </c>
      <c r="W209" s="3066" t="s">
        <v>3568</v>
      </c>
      <c r="X209" s="3066">
        <v>0</v>
      </c>
      <c r="Y209" s="3066">
        <v>0</v>
      </c>
      <c r="Z209" s="3066" t="s">
        <v>3568</v>
      </c>
      <c r="AA209" s="3066" t="s">
        <v>3560</v>
      </c>
      <c r="AB209" s="3066" t="s">
        <v>3560</v>
      </c>
      <c r="AC209" s="3066" t="s">
        <v>3560</v>
      </c>
      <c r="AD209" s="3066" t="s">
        <v>3560</v>
      </c>
      <c r="AE209" s="3066" t="s">
        <v>3560</v>
      </c>
      <c r="AF209" s="3067">
        <v>0</v>
      </c>
      <c r="AG209" s="3066">
        <v>0</v>
      </c>
      <c r="AH209" s="3066">
        <v>0</v>
      </c>
      <c r="AI209" s="3066">
        <v>0</v>
      </c>
      <c r="AJ209" s="3066">
        <v>0</v>
      </c>
      <c r="AK209" s="3066">
        <v>0</v>
      </c>
      <c r="AL209" s="3066">
        <v>0</v>
      </c>
      <c r="AM209" s="3066">
        <v>0</v>
      </c>
      <c r="AN209" s="3066" t="s">
        <v>3560</v>
      </c>
      <c r="AP209" s="3068">
        <f t="shared" si="3"/>
        <v>0</v>
      </c>
    </row>
    <row r="210" spans="2:42" ht="27" customHeight="1">
      <c r="B210" s="3066">
        <v>218</v>
      </c>
      <c r="C210" s="3066" t="s">
        <v>3142</v>
      </c>
      <c r="D210" s="3066" t="s">
        <v>4053</v>
      </c>
      <c r="E210" s="3066" t="s">
        <v>4354</v>
      </c>
      <c r="F210" s="3066" t="s">
        <v>3917</v>
      </c>
      <c r="G210" s="3066" t="s">
        <v>1373</v>
      </c>
      <c r="H210" s="3066" t="s">
        <v>3560</v>
      </c>
      <c r="I210" s="3066" t="s">
        <v>3879</v>
      </c>
      <c r="J210" s="3066" t="s">
        <v>3880</v>
      </c>
      <c r="K210" s="3066" t="s">
        <v>3560</v>
      </c>
      <c r="L210" s="3066" t="s">
        <v>3881</v>
      </c>
      <c r="M210" s="3066" t="s">
        <v>4355</v>
      </c>
      <c r="N210" s="3066">
        <v>454</v>
      </c>
      <c r="O210" s="3066" t="s">
        <v>3931</v>
      </c>
      <c r="P210" s="3066" t="s">
        <v>3566</v>
      </c>
      <c r="Q210" s="3066">
        <v>1</v>
      </c>
      <c r="R210" s="3066">
        <v>7627.8</v>
      </c>
      <c r="S210" s="3066" t="s">
        <v>3567</v>
      </c>
      <c r="T210" s="3066">
        <v>18</v>
      </c>
      <c r="U210" s="3066">
        <v>8172</v>
      </c>
      <c r="V210" s="3066" t="s">
        <v>3560</v>
      </c>
      <c r="W210" s="3066" t="s">
        <v>3568</v>
      </c>
      <c r="X210" s="3066">
        <v>2</v>
      </c>
      <c r="Y210" s="3066">
        <v>10896</v>
      </c>
      <c r="Z210" s="3066" t="s">
        <v>3568</v>
      </c>
      <c r="AA210" s="3066" t="s">
        <v>3560</v>
      </c>
      <c r="AB210" s="3066" t="s">
        <v>3932</v>
      </c>
      <c r="AC210" s="3066" t="s">
        <v>3932</v>
      </c>
      <c r="AD210" s="3066" t="s">
        <v>3932</v>
      </c>
      <c r="AE210" s="3066" t="s">
        <v>3560</v>
      </c>
      <c r="AF210" s="3067">
        <v>8172</v>
      </c>
      <c r="AG210" s="3066">
        <v>8172</v>
      </c>
      <c r="AH210" s="3066">
        <v>908</v>
      </c>
      <c r="AI210" s="3066">
        <v>908</v>
      </c>
      <c r="AJ210" s="3066">
        <v>1579.41</v>
      </c>
      <c r="AK210" s="3066">
        <v>1579.41</v>
      </c>
      <c r="AL210" s="3066">
        <v>10659.41</v>
      </c>
      <c r="AM210" s="3066">
        <v>10659.41</v>
      </c>
      <c r="AN210" s="3066" t="s">
        <v>3560</v>
      </c>
      <c r="AP210" s="3068">
        <f t="shared" si="3"/>
        <v>18</v>
      </c>
    </row>
    <row r="211" spans="2:42" ht="27" customHeight="1">
      <c r="B211" s="3066">
        <v>219</v>
      </c>
      <c r="C211" s="3066" t="s">
        <v>3142</v>
      </c>
      <c r="D211" s="3066" t="s">
        <v>3915</v>
      </c>
      <c r="E211" s="3066" t="s">
        <v>4356</v>
      </c>
      <c r="F211" s="3066" t="s">
        <v>3917</v>
      </c>
      <c r="G211" s="3066" t="s">
        <v>1373</v>
      </c>
      <c r="H211" s="3066" t="s">
        <v>3560</v>
      </c>
      <c r="I211" s="3066" t="s">
        <v>4357</v>
      </c>
      <c r="J211" s="3066" t="s">
        <v>4357</v>
      </c>
      <c r="K211" s="3066" t="s">
        <v>3560</v>
      </c>
      <c r="L211" s="3066" t="s">
        <v>4358</v>
      </c>
      <c r="M211" s="3066" t="s">
        <v>4359</v>
      </c>
      <c r="N211" s="3066">
        <v>37.5</v>
      </c>
      <c r="O211" s="3066" t="s">
        <v>3619</v>
      </c>
      <c r="P211" s="3066" t="s">
        <v>3566</v>
      </c>
      <c r="Q211" s="3066">
        <v>1</v>
      </c>
      <c r="R211" s="3066">
        <v>2280</v>
      </c>
      <c r="S211" s="3066" t="s">
        <v>3567</v>
      </c>
      <c r="T211" s="3066">
        <v>21</v>
      </c>
      <c r="U211" s="3066">
        <v>787.5</v>
      </c>
      <c r="V211" s="3066" t="s">
        <v>3560</v>
      </c>
      <c r="W211" s="3066" t="s">
        <v>3568</v>
      </c>
      <c r="X211" s="3066">
        <v>2.27</v>
      </c>
      <c r="Y211" s="3066">
        <v>1020</v>
      </c>
      <c r="Z211" s="3066" t="s">
        <v>3568</v>
      </c>
      <c r="AA211" s="3066" t="s">
        <v>3560</v>
      </c>
      <c r="AB211" s="3066" t="s">
        <v>3584</v>
      </c>
      <c r="AC211" s="3066" t="s">
        <v>3584</v>
      </c>
      <c r="AD211" s="3066" t="s">
        <v>3584</v>
      </c>
      <c r="AE211" s="3066" t="s">
        <v>3560</v>
      </c>
      <c r="AF211" s="3067">
        <v>787.5</v>
      </c>
      <c r="AG211" s="3066">
        <v>787.5</v>
      </c>
      <c r="AH211" s="3066">
        <v>85</v>
      </c>
      <c r="AI211" s="3066">
        <v>85</v>
      </c>
      <c r="AJ211" s="3066">
        <v>98.5</v>
      </c>
      <c r="AK211" s="3066">
        <v>98.5</v>
      </c>
      <c r="AL211" s="3066">
        <v>971</v>
      </c>
      <c r="AM211" s="3066">
        <v>971</v>
      </c>
      <c r="AN211" s="3066" t="s">
        <v>3560</v>
      </c>
      <c r="AP211" s="3068">
        <f t="shared" si="3"/>
        <v>21</v>
      </c>
    </row>
    <row r="212" spans="2:42" ht="27" customHeight="1">
      <c r="B212" s="3066">
        <v>220</v>
      </c>
      <c r="C212" s="3066" t="s">
        <v>3142</v>
      </c>
      <c r="D212" s="3066" t="s">
        <v>3915</v>
      </c>
      <c r="E212" s="3066" t="s">
        <v>4360</v>
      </c>
      <c r="F212" s="3066" t="s">
        <v>3917</v>
      </c>
      <c r="G212" s="3066" t="s">
        <v>1373</v>
      </c>
      <c r="H212" s="3066" t="s">
        <v>3560</v>
      </c>
      <c r="I212" s="3066" t="s">
        <v>4361</v>
      </c>
      <c r="J212" s="3066" t="s">
        <v>4361</v>
      </c>
      <c r="K212" s="3066" t="s">
        <v>3560</v>
      </c>
      <c r="L212" s="3066" t="s">
        <v>4362</v>
      </c>
      <c r="M212" s="3066" t="s">
        <v>4363</v>
      </c>
      <c r="N212" s="3066">
        <v>37.5</v>
      </c>
      <c r="O212" s="3066" t="s">
        <v>3950</v>
      </c>
      <c r="P212" s="3066" t="s">
        <v>3566</v>
      </c>
      <c r="Q212" s="3066">
        <v>1</v>
      </c>
      <c r="R212" s="3066">
        <v>2505</v>
      </c>
      <c r="S212" s="3066" t="s">
        <v>3567</v>
      </c>
      <c r="T212" s="3066">
        <v>21</v>
      </c>
      <c r="U212" s="3066">
        <v>787.5</v>
      </c>
      <c r="V212" s="3066" t="s">
        <v>3560</v>
      </c>
      <c r="W212" s="3066" t="s">
        <v>3568</v>
      </c>
      <c r="X212" s="3066">
        <v>2.27</v>
      </c>
      <c r="Y212" s="3066">
        <v>1020</v>
      </c>
      <c r="Z212" s="3066" t="s">
        <v>3568</v>
      </c>
      <c r="AA212" s="3066" t="s">
        <v>3560</v>
      </c>
      <c r="AB212" s="3066" t="s">
        <v>3951</v>
      </c>
      <c r="AC212" s="3066" t="s">
        <v>3951</v>
      </c>
      <c r="AD212" s="3066" t="s">
        <v>3951</v>
      </c>
      <c r="AE212" s="3066" t="s">
        <v>3560</v>
      </c>
      <c r="AF212" s="3067">
        <v>787.5</v>
      </c>
      <c r="AG212" s="3066">
        <v>787.5</v>
      </c>
      <c r="AH212" s="3066">
        <v>85</v>
      </c>
      <c r="AI212" s="3066">
        <v>85</v>
      </c>
      <c r="AJ212" s="3066">
        <v>21.41</v>
      </c>
      <c r="AK212" s="3066">
        <v>21.41</v>
      </c>
      <c r="AL212" s="3066">
        <v>893.91</v>
      </c>
      <c r="AM212" s="3066">
        <v>893.91</v>
      </c>
      <c r="AN212" s="3066" t="s">
        <v>3560</v>
      </c>
      <c r="AP212" s="3068">
        <f t="shared" si="3"/>
        <v>21</v>
      </c>
    </row>
    <row r="213" spans="2:42" ht="27" customHeight="1">
      <c r="B213" s="3066">
        <v>221</v>
      </c>
      <c r="C213" s="3066" t="s">
        <v>3142</v>
      </c>
      <c r="D213" s="3066" t="s">
        <v>3915</v>
      </c>
      <c r="E213" s="3066" t="s">
        <v>4364</v>
      </c>
      <c r="F213" s="3066" t="s">
        <v>3917</v>
      </c>
      <c r="G213" s="3066" t="s">
        <v>3560</v>
      </c>
      <c r="H213" s="3066" t="s">
        <v>3560</v>
      </c>
      <c r="I213" s="3066" t="s">
        <v>4365</v>
      </c>
      <c r="J213" s="3066" t="s">
        <v>4365</v>
      </c>
      <c r="K213" s="3066" t="s">
        <v>3560</v>
      </c>
      <c r="L213" s="3066" t="s">
        <v>4366</v>
      </c>
      <c r="M213" s="3066" t="s">
        <v>4367</v>
      </c>
      <c r="N213" s="3066">
        <v>37.5</v>
      </c>
      <c r="O213" s="3066" t="s">
        <v>4368</v>
      </c>
      <c r="P213" s="3066" t="s">
        <v>3566</v>
      </c>
      <c r="Q213" s="3066">
        <v>0</v>
      </c>
      <c r="R213" s="3066">
        <v>2505</v>
      </c>
      <c r="S213" s="3066" t="s">
        <v>3567</v>
      </c>
      <c r="T213" s="3066">
        <v>20</v>
      </c>
      <c r="U213" s="3066">
        <v>750</v>
      </c>
      <c r="V213" s="3066" t="s">
        <v>3560</v>
      </c>
      <c r="W213" s="3066" t="s">
        <v>3568</v>
      </c>
      <c r="X213" s="3066">
        <v>2.27</v>
      </c>
      <c r="Y213" s="3066">
        <v>1020</v>
      </c>
      <c r="Z213" s="3066" t="s">
        <v>3568</v>
      </c>
      <c r="AA213" s="3066" t="s">
        <v>3560</v>
      </c>
      <c r="AB213" s="3066" t="s">
        <v>4369</v>
      </c>
      <c r="AC213" s="3066" t="s">
        <v>4369</v>
      </c>
      <c r="AD213" s="3066" t="s">
        <v>4369</v>
      </c>
      <c r="AE213" s="3066" t="s">
        <v>3560</v>
      </c>
      <c r="AF213" s="3067">
        <v>750</v>
      </c>
      <c r="AG213" s="3066">
        <v>0</v>
      </c>
      <c r="AH213" s="3066">
        <v>85</v>
      </c>
      <c r="AI213" s="3066">
        <v>0</v>
      </c>
      <c r="AJ213" s="3066">
        <v>24.74</v>
      </c>
      <c r="AK213" s="3066">
        <v>0</v>
      </c>
      <c r="AL213" s="3066">
        <v>859.74</v>
      </c>
      <c r="AM213" s="3066">
        <v>0</v>
      </c>
      <c r="AN213" s="3066" t="s">
        <v>3560</v>
      </c>
      <c r="AP213" s="3068">
        <f t="shared" si="3"/>
        <v>20</v>
      </c>
    </row>
    <row r="214" spans="2:42" ht="27" customHeight="1">
      <c r="B214" s="3066">
        <v>222</v>
      </c>
      <c r="C214" s="3066" t="s">
        <v>3142</v>
      </c>
      <c r="D214" s="3066" t="s">
        <v>3915</v>
      </c>
      <c r="E214" s="3066" t="s">
        <v>4370</v>
      </c>
      <c r="F214" s="3066" t="s">
        <v>3917</v>
      </c>
      <c r="G214" s="3066" t="s">
        <v>3560</v>
      </c>
      <c r="H214" s="3066" t="s">
        <v>3560</v>
      </c>
      <c r="I214" s="3066" t="s">
        <v>4371</v>
      </c>
      <c r="J214" s="3066" t="s">
        <v>4371</v>
      </c>
      <c r="K214" s="3066" t="s">
        <v>3560</v>
      </c>
      <c r="L214" s="3066" t="s">
        <v>4372</v>
      </c>
      <c r="M214" s="3066" t="s">
        <v>4373</v>
      </c>
      <c r="N214" s="3066">
        <v>37.5</v>
      </c>
      <c r="O214" s="3066" t="s">
        <v>4374</v>
      </c>
      <c r="P214" s="3066" t="s">
        <v>3566</v>
      </c>
      <c r="Q214" s="3066">
        <v>0</v>
      </c>
      <c r="R214" s="3066">
        <v>2618</v>
      </c>
      <c r="S214" s="3066" t="s">
        <v>3567</v>
      </c>
      <c r="T214" s="3066">
        <v>21</v>
      </c>
      <c r="U214" s="3066">
        <v>787.5</v>
      </c>
      <c r="V214" s="3066" t="s">
        <v>3560</v>
      </c>
      <c r="W214" s="3066" t="s">
        <v>3568</v>
      </c>
      <c r="X214" s="3066">
        <v>2.27</v>
      </c>
      <c r="Y214" s="3066">
        <v>1020</v>
      </c>
      <c r="Z214" s="3066" t="s">
        <v>3568</v>
      </c>
      <c r="AA214" s="3066" t="s">
        <v>3560</v>
      </c>
      <c r="AB214" s="3066" t="s">
        <v>3943</v>
      </c>
      <c r="AC214" s="3066" t="s">
        <v>3943</v>
      </c>
      <c r="AD214" s="3066" t="s">
        <v>3943</v>
      </c>
      <c r="AE214" s="3066" t="s">
        <v>3560</v>
      </c>
      <c r="AF214" s="3067">
        <v>0</v>
      </c>
      <c r="AG214" s="3066">
        <v>0</v>
      </c>
      <c r="AH214" s="3066">
        <v>0</v>
      </c>
      <c r="AI214" s="3066">
        <v>0</v>
      </c>
      <c r="AJ214" s="3066">
        <v>0</v>
      </c>
      <c r="AK214" s="3066">
        <v>0</v>
      </c>
      <c r="AL214" s="3066">
        <v>0</v>
      </c>
      <c r="AM214" s="3066">
        <v>0</v>
      </c>
      <c r="AN214" s="3066" t="s">
        <v>3560</v>
      </c>
      <c r="AP214" s="3068">
        <f t="shared" si="3"/>
        <v>0</v>
      </c>
    </row>
    <row r="215" spans="2:42" ht="27" customHeight="1">
      <c r="B215" s="3066">
        <v>223</v>
      </c>
      <c r="C215" s="3066" t="s">
        <v>3142</v>
      </c>
      <c r="D215" s="3066" t="s">
        <v>3915</v>
      </c>
      <c r="E215" s="3066" t="s">
        <v>4375</v>
      </c>
      <c r="F215" s="3066" t="s">
        <v>3917</v>
      </c>
      <c r="G215" s="3066" t="s">
        <v>1373</v>
      </c>
      <c r="H215" s="3066" t="s">
        <v>3560</v>
      </c>
      <c r="I215" s="3066" t="s">
        <v>4376</v>
      </c>
      <c r="J215" s="3066" t="s">
        <v>4376</v>
      </c>
      <c r="K215" s="3066" t="s">
        <v>3560</v>
      </c>
      <c r="L215" s="3066" t="s">
        <v>4377</v>
      </c>
      <c r="M215" s="3066" t="s">
        <v>4378</v>
      </c>
      <c r="N215" s="3066">
        <v>37.5</v>
      </c>
      <c r="O215" s="3066" t="s">
        <v>3608</v>
      </c>
      <c r="P215" s="3066" t="s">
        <v>3566</v>
      </c>
      <c r="Q215" s="3066">
        <v>1</v>
      </c>
      <c r="R215" s="3066">
        <v>1002</v>
      </c>
      <c r="S215" s="3066" t="s">
        <v>3567</v>
      </c>
      <c r="T215" s="3066">
        <v>20</v>
      </c>
      <c r="U215" s="3066">
        <v>750</v>
      </c>
      <c r="V215" s="3066" t="s">
        <v>3560</v>
      </c>
      <c r="W215" s="3066" t="s">
        <v>3568</v>
      </c>
      <c r="X215" s="3066">
        <v>2.27</v>
      </c>
      <c r="Y215" s="3066">
        <v>1020</v>
      </c>
      <c r="Z215" s="3066" t="s">
        <v>3568</v>
      </c>
      <c r="AA215" s="3066" t="s">
        <v>3560</v>
      </c>
      <c r="AB215" s="3066" t="s">
        <v>3609</v>
      </c>
      <c r="AC215" s="3066" t="s">
        <v>3609</v>
      </c>
      <c r="AD215" s="3066" t="s">
        <v>3609</v>
      </c>
      <c r="AE215" s="3066" t="s">
        <v>3560</v>
      </c>
      <c r="AF215" s="3067">
        <v>750</v>
      </c>
      <c r="AG215" s="3066">
        <v>750</v>
      </c>
      <c r="AH215" s="3066">
        <v>85</v>
      </c>
      <c r="AI215" s="3066">
        <v>85</v>
      </c>
      <c r="AJ215" s="3066">
        <v>118.56</v>
      </c>
      <c r="AK215" s="3066">
        <v>118.56</v>
      </c>
      <c r="AL215" s="3066">
        <v>953.56</v>
      </c>
      <c r="AM215" s="3066">
        <v>953.56</v>
      </c>
      <c r="AN215" s="3066" t="s">
        <v>3560</v>
      </c>
      <c r="AP215" s="3068">
        <f t="shared" si="3"/>
        <v>20</v>
      </c>
    </row>
    <row r="216" spans="2:42" ht="27" customHeight="1">
      <c r="B216" s="3066">
        <v>224</v>
      </c>
      <c r="C216" s="3066" t="s">
        <v>3142</v>
      </c>
      <c r="D216" s="3066" t="s">
        <v>3915</v>
      </c>
      <c r="E216" s="3066" t="s">
        <v>4379</v>
      </c>
      <c r="F216" s="3066" t="s">
        <v>3917</v>
      </c>
      <c r="G216" s="3066" t="s">
        <v>1373</v>
      </c>
      <c r="H216" s="3066" t="s">
        <v>3560</v>
      </c>
      <c r="I216" s="3066" t="s">
        <v>4376</v>
      </c>
      <c r="J216" s="3066" t="s">
        <v>4376</v>
      </c>
      <c r="K216" s="3066" t="s">
        <v>3560</v>
      </c>
      <c r="L216" s="3066" t="s">
        <v>4377</v>
      </c>
      <c r="M216" s="3066" t="s">
        <v>4380</v>
      </c>
      <c r="N216" s="3066">
        <v>37.5</v>
      </c>
      <c r="O216" s="3066" t="s">
        <v>3608</v>
      </c>
      <c r="P216" s="3066" t="s">
        <v>3566</v>
      </c>
      <c r="Q216" s="3066">
        <v>1</v>
      </c>
      <c r="R216" s="3066">
        <v>0</v>
      </c>
      <c r="S216" s="3066" t="s">
        <v>3577</v>
      </c>
      <c r="T216" s="3066">
        <v>20</v>
      </c>
      <c r="U216" s="3066">
        <v>750</v>
      </c>
      <c r="V216" s="3066" t="s">
        <v>3560</v>
      </c>
      <c r="W216" s="3066" t="s">
        <v>3568</v>
      </c>
      <c r="X216" s="3066">
        <v>2.27</v>
      </c>
      <c r="Y216" s="3066">
        <v>1020</v>
      </c>
      <c r="Z216" s="3066" t="s">
        <v>3568</v>
      </c>
      <c r="AA216" s="3066" t="s">
        <v>3560</v>
      </c>
      <c r="AB216" s="3066" t="s">
        <v>3609</v>
      </c>
      <c r="AC216" s="3066" t="s">
        <v>3609</v>
      </c>
      <c r="AD216" s="3066" t="s">
        <v>3609</v>
      </c>
      <c r="AE216" s="3066" t="s">
        <v>3560</v>
      </c>
      <c r="AF216" s="3067">
        <v>750</v>
      </c>
      <c r="AG216" s="3066">
        <v>750</v>
      </c>
      <c r="AH216" s="3066">
        <v>85</v>
      </c>
      <c r="AI216" s="3066">
        <v>85</v>
      </c>
      <c r="AJ216" s="3066">
        <v>81.760000000000005</v>
      </c>
      <c r="AK216" s="3066">
        <v>81.760000000000005</v>
      </c>
      <c r="AL216" s="3066">
        <v>916.76</v>
      </c>
      <c r="AM216" s="3066">
        <v>916.76</v>
      </c>
      <c r="AN216" s="3066" t="s">
        <v>3560</v>
      </c>
      <c r="AP216" s="3068">
        <f t="shared" si="3"/>
        <v>20</v>
      </c>
    </row>
    <row r="217" spans="2:42" ht="27" customHeight="1">
      <c r="B217" s="3066">
        <v>225</v>
      </c>
      <c r="C217" s="3066" t="s">
        <v>3142</v>
      </c>
      <c r="D217" s="3066" t="s">
        <v>3915</v>
      </c>
      <c r="E217" s="3066" t="s">
        <v>4381</v>
      </c>
      <c r="F217" s="3066" t="s">
        <v>3917</v>
      </c>
      <c r="G217" s="3066" t="s">
        <v>1373</v>
      </c>
      <c r="H217" s="3066" t="s">
        <v>3560</v>
      </c>
      <c r="I217" s="3066" t="s">
        <v>3827</v>
      </c>
      <c r="J217" s="3066" t="s">
        <v>3828</v>
      </c>
      <c r="K217" s="3066" t="s">
        <v>3560</v>
      </c>
      <c r="L217" s="3066" t="s">
        <v>3829</v>
      </c>
      <c r="M217" s="3066" t="s">
        <v>4382</v>
      </c>
      <c r="N217" s="3066">
        <v>37.5</v>
      </c>
      <c r="O217" s="3066" t="s">
        <v>3583</v>
      </c>
      <c r="P217" s="3066" t="s">
        <v>3566</v>
      </c>
      <c r="Q217" s="3066">
        <v>0</v>
      </c>
      <c r="R217" s="3066">
        <v>1940.4</v>
      </c>
      <c r="S217" s="3066" t="s">
        <v>3567</v>
      </c>
      <c r="T217" s="3066">
        <v>20</v>
      </c>
      <c r="U217" s="3066">
        <v>750</v>
      </c>
      <c r="V217" s="3066" t="s">
        <v>3560</v>
      </c>
      <c r="W217" s="3066" t="s">
        <v>3568</v>
      </c>
      <c r="X217" s="3066">
        <v>2</v>
      </c>
      <c r="Y217" s="3066">
        <v>900</v>
      </c>
      <c r="Z217" s="3066" t="s">
        <v>3568</v>
      </c>
      <c r="AA217" s="3066" t="s">
        <v>3560</v>
      </c>
      <c r="AB217" s="3066" t="s">
        <v>3584</v>
      </c>
      <c r="AC217" s="3066" t="s">
        <v>3584</v>
      </c>
      <c r="AD217" s="3066" t="s">
        <v>3584</v>
      </c>
      <c r="AE217" s="3066" t="s">
        <v>3560</v>
      </c>
      <c r="AF217" s="3067">
        <v>750</v>
      </c>
      <c r="AG217" s="3066">
        <v>750</v>
      </c>
      <c r="AH217" s="3066">
        <v>75</v>
      </c>
      <c r="AI217" s="3066">
        <v>75</v>
      </c>
      <c r="AJ217" s="3066">
        <v>177.02</v>
      </c>
      <c r="AK217" s="3066">
        <v>177.02</v>
      </c>
      <c r="AL217" s="3066">
        <v>1002.02</v>
      </c>
      <c r="AM217" s="3066">
        <v>1002.02</v>
      </c>
      <c r="AN217" s="3066" t="s">
        <v>3560</v>
      </c>
      <c r="AP217" s="3068">
        <f t="shared" si="3"/>
        <v>20</v>
      </c>
    </row>
    <row r="218" spans="2:42" ht="27" customHeight="1">
      <c r="B218" s="3066">
        <v>226</v>
      </c>
      <c r="C218" s="3066" t="s">
        <v>3142</v>
      </c>
      <c r="D218" s="3066" t="s">
        <v>3915</v>
      </c>
      <c r="E218" s="3066" t="s">
        <v>4383</v>
      </c>
      <c r="F218" s="3066" t="s">
        <v>3917</v>
      </c>
      <c r="G218" s="3066" t="s">
        <v>3560</v>
      </c>
      <c r="H218" s="3066" t="s">
        <v>3560</v>
      </c>
      <c r="I218" s="3066" t="s">
        <v>4384</v>
      </c>
      <c r="J218" s="3066" t="s">
        <v>4384</v>
      </c>
      <c r="K218" s="3066" t="s">
        <v>3560</v>
      </c>
      <c r="L218" s="3066" t="s">
        <v>4385</v>
      </c>
      <c r="M218" s="3066" t="s">
        <v>4386</v>
      </c>
      <c r="N218" s="3066">
        <v>37.5</v>
      </c>
      <c r="O218" s="3066" t="s">
        <v>4387</v>
      </c>
      <c r="P218" s="3066" t="s">
        <v>3566</v>
      </c>
      <c r="Q218" s="3066">
        <v>0</v>
      </c>
      <c r="R218" s="3066">
        <v>4175</v>
      </c>
      <c r="S218" s="3066" t="s">
        <v>3567</v>
      </c>
      <c r="T218" s="3066">
        <v>20</v>
      </c>
      <c r="U218" s="3066">
        <v>750</v>
      </c>
      <c r="V218" s="3066" t="s">
        <v>3560</v>
      </c>
      <c r="W218" s="3066" t="s">
        <v>3568</v>
      </c>
      <c r="X218" s="3066">
        <v>2.27</v>
      </c>
      <c r="Y218" s="3066">
        <v>1020</v>
      </c>
      <c r="Z218" s="3066" t="s">
        <v>3568</v>
      </c>
      <c r="AA218" s="3066" t="s">
        <v>3560</v>
      </c>
      <c r="AB218" s="3066" t="s">
        <v>4388</v>
      </c>
      <c r="AC218" s="3066" t="s">
        <v>4388</v>
      </c>
      <c r="AD218" s="3066" t="s">
        <v>4388</v>
      </c>
      <c r="AE218" s="3066" t="s">
        <v>3560</v>
      </c>
      <c r="AF218" s="3067">
        <v>750</v>
      </c>
      <c r="AG218" s="3066">
        <v>750</v>
      </c>
      <c r="AH218" s="3066">
        <v>85</v>
      </c>
      <c r="AI218" s="3066">
        <v>85</v>
      </c>
      <c r="AJ218" s="3066">
        <v>23.72</v>
      </c>
      <c r="AK218" s="3066">
        <v>23.72</v>
      </c>
      <c r="AL218" s="3066">
        <v>858.72</v>
      </c>
      <c r="AM218" s="3066">
        <v>858.72</v>
      </c>
      <c r="AN218" s="3066" t="s">
        <v>3560</v>
      </c>
      <c r="AP218" s="3068">
        <f t="shared" si="3"/>
        <v>20</v>
      </c>
    </row>
    <row r="219" spans="2:42" ht="27" customHeight="1">
      <c r="B219" s="3066">
        <v>227</v>
      </c>
      <c r="C219" s="3066" t="s">
        <v>3142</v>
      </c>
      <c r="D219" s="3066" t="s">
        <v>3915</v>
      </c>
      <c r="E219" s="3066" t="s">
        <v>4389</v>
      </c>
      <c r="F219" s="3066" t="s">
        <v>3917</v>
      </c>
      <c r="G219" s="3066" t="s">
        <v>3560</v>
      </c>
      <c r="H219" s="3066" t="s">
        <v>3560</v>
      </c>
      <c r="I219" s="3066" t="s">
        <v>3560</v>
      </c>
      <c r="J219" s="3066" t="s">
        <v>3560</v>
      </c>
      <c r="K219" s="3066" t="s">
        <v>3560</v>
      </c>
      <c r="L219" s="3066" t="s">
        <v>3560</v>
      </c>
      <c r="M219" s="3066" t="s">
        <v>4390</v>
      </c>
      <c r="N219" s="3066">
        <v>37.5</v>
      </c>
      <c r="O219" s="3066" t="s">
        <v>3560</v>
      </c>
      <c r="P219" s="3066" t="s">
        <v>3560</v>
      </c>
      <c r="Q219" s="3066">
        <v>0</v>
      </c>
      <c r="R219" s="3066">
        <v>0</v>
      </c>
      <c r="S219" s="3066" t="s">
        <v>3577</v>
      </c>
      <c r="T219" s="3066">
        <v>0</v>
      </c>
      <c r="U219" s="3066">
        <v>0</v>
      </c>
      <c r="V219" s="3066" t="s">
        <v>3560</v>
      </c>
      <c r="W219" s="3066" t="s">
        <v>3568</v>
      </c>
      <c r="X219" s="3066">
        <v>0</v>
      </c>
      <c r="Y219" s="3066">
        <v>0</v>
      </c>
      <c r="Z219" s="3066" t="s">
        <v>3568</v>
      </c>
      <c r="AA219" s="3066" t="s">
        <v>3560</v>
      </c>
      <c r="AB219" s="3066" t="s">
        <v>3560</v>
      </c>
      <c r="AC219" s="3066" t="s">
        <v>3560</v>
      </c>
      <c r="AD219" s="3066" t="s">
        <v>3560</v>
      </c>
      <c r="AE219" s="3066" t="s">
        <v>3560</v>
      </c>
      <c r="AF219" s="3067">
        <v>0</v>
      </c>
      <c r="AG219" s="3066">
        <v>0</v>
      </c>
      <c r="AH219" s="3066">
        <v>0</v>
      </c>
      <c r="AI219" s="3066">
        <v>0</v>
      </c>
      <c r="AJ219" s="3066">
        <v>0</v>
      </c>
      <c r="AK219" s="3066">
        <v>0</v>
      </c>
      <c r="AL219" s="3066">
        <v>0</v>
      </c>
      <c r="AM219" s="3066">
        <v>0</v>
      </c>
      <c r="AN219" s="3066" t="s">
        <v>3560</v>
      </c>
      <c r="AP219" s="3068">
        <f t="shared" si="3"/>
        <v>0</v>
      </c>
    </row>
    <row r="220" spans="2:42" ht="27" customHeight="1">
      <c r="B220" s="3066">
        <v>228</v>
      </c>
      <c r="C220" s="3066" t="s">
        <v>3142</v>
      </c>
      <c r="D220" s="3066" t="s">
        <v>3915</v>
      </c>
      <c r="E220" s="3066" t="s">
        <v>4391</v>
      </c>
      <c r="F220" s="3066" t="s">
        <v>3917</v>
      </c>
      <c r="G220" s="3066" t="s">
        <v>1373</v>
      </c>
      <c r="H220" s="3066" t="s">
        <v>3560</v>
      </c>
      <c r="I220" s="3066" t="s">
        <v>3827</v>
      </c>
      <c r="J220" s="3066" t="s">
        <v>3828</v>
      </c>
      <c r="K220" s="3066" t="s">
        <v>3560</v>
      </c>
      <c r="L220" s="3066" t="s">
        <v>3829</v>
      </c>
      <c r="M220" s="3066" t="s">
        <v>4392</v>
      </c>
      <c r="N220" s="3066">
        <v>37.5</v>
      </c>
      <c r="O220" s="3066" t="s">
        <v>3583</v>
      </c>
      <c r="P220" s="3066" t="s">
        <v>3566</v>
      </c>
      <c r="Q220" s="3066">
        <v>0</v>
      </c>
      <c r="R220" s="3066">
        <v>0</v>
      </c>
      <c r="S220" s="3066" t="s">
        <v>3577</v>
      </c>
      <c r="T220" s="3066">
        <v>20</v>
      </c>
      <c r="U220" s="3066">
        <v>750</v>
      </c>
      <c r="V220" s="3066" t="s">
        <v>3560</v>
      </c>
      <c r="W220" s="3066" t="s">
        <v>3568</v>
      </c>
      <c r="X220" s="3066">
        <v>2</v>
      </c>
      <c r="Y220" s="3066">
        <v>900</v>
      </c>
      <c r="Z220" s="3066" t="s">
        <v>3568</v>
      </c>
      <c r="AA220" s="3066" t="s">
        <v>3560</v>
      </c>
      <c r="AB220" s="3066" t="s">
        <v>3584</v>
      </c>
      <c r="AC220" s="3066" t="s">
        <v>3584</v>
      </c>
      <c r="AD220" s="3066" t="s">
        <v>3584</v>
      </c>
      <c r="AE220" s="3066" t="s">
        <v>3560</v>
      </c>
      <c r="AF220" s="3067">
        <v>750</v>
      </c>
      <c r="AG220" s="3066">
        <v>750</v>
      </c>
      <c r="AH220" s="3066">
        <v>75</v>
      </c>
      <c r="AI220" s="3066">
        <v>75</v>
      </c>
      <c r="AJ220" s="3066">
        <v>43.81</v>
      </c>
      <c r="AK220" s="3066">
        <v>43.81</v>
      </c>
      <c r="AL220" s="3066">
        <v>868.81</v>
      </c>
      <c r="AM220" s="3066">
        <v>868.81</v>
      </c>
      <c r="AN220" s="3066" t="s">
        <v>3560</v>
      </c>
      <c r="AP220" s="3068">
        <f t="shared" si="3"/>
        <v>20</v>
      </c>
    </row>
    <row r="221" spans="2:42" ht="27" customHeight="1">
      <c r="B221" s="3066">
        <v>229</v>
      </c>
      <c r="C221" s="3066" t="s">
        <v>3142</v>
      </c>
      <c r="D221" s="3066" t="s">
        <v>3915</v>
      </c>
      <c r="E221" s="3066" t="s">
        <v>4393</v>
      </c>
      <c r="F221" s="3066" t="s">
        <v>3917</v>
      </c>
      <c r="G221" s="3066" t="s">
        <v>1373</v>
      </c>
      <c r="H221" s="3066" t="s">
        <v>3560</v>
      </c>
      <c r="I221" s="3066" t="s">
        <v>3827</v>
      </c>
      <c r="J221" s="3066" t="s">
        <v>3828</v>
      </c>
      <c r="K221" s="3066" t="s">
        <v>3560</v>
      </c>
      <c r="L221" s="3066" t="s">
        <v>3829</v>
      </c>
      <c r="M221" s="3066" t="s">
        <v>4394</v>
      </c>
      <c r="N221" s="3066">
        <v>37.5</v>
      </c>
      <c r="O221" s="3066" t="s">
        <v>3583</v>
      </c>
      <c r="P221" s="3066" t="s">
        <v>3566</v>
      </c>
      <c r="Q221" s="3066">
        <v>0</v>
      </c>
      <c r="R221" s="3066">
        <v>0</v>
      </c>
      <c r="S221" s="3066" t="s">
        <v>3577</v>
      </c>
      <c r="T221" s="3066">
        <v>20</v>
      </c>
      <c r="U221" s="3066">
        <v>750</v>
      </c>
      <c r="V221" s="3066" t="s">
        <v>3560</v>
      </c>
      <c r="W221" s="3066" t="s">
        <v>3568</v>
      </c>
      <c r="X221" s="3066">
        <v>2</v>
      </c>
      <c r="Y221" s="3066">
        <v>900</v>
      </c>
      <c r="Z221" s="3066" t="s">
        <v>3568</v>
      </c>
      <c r="AA221" s="3066" t="s">
        <v>3560</v>
      </c>
      <c r="AB221" s="3066" t="s">
        <v>3584</v>
      </c>
      <c r="AC221" s="3066" t="s">
        <v>3584</v>
      </c>
      <c r="AD221" s="3066" t="s">
        <v>3584</v>
      </c>
      <c r="AE221" s="3066" t="s">
        <v>3560</v>
      </c>
      <c r="AF221" s="3067">
        <v>750</v>
      </c>
      <c r="AG221" s="3066">
        <v>750</v>
      </c>
      <c r="AH221" s="3066">
        <v>75</v>
      </c>
      <c r="AI221" s="3066">
        <v>75</v>
      </c>
      <c r="AJ221" s="3066">
        <v>71.17</v>
      </c>
      <c r="AK221" s="3066">
        <v>71.17</v>
      </c>
      <c r="AL221" s="3066">
        <v>896.17</v>
      </c>
      <c r="AM221" s="3066">
        <v>896.17</v>
      </c>
      <c r="AN221" s="3066" t="s">
        <v>3560</v>
      </c>
      <c r="AP221" s="3068">
        <f t="shared" si="3"/>
        <v>20</v>
      </c>
    </row>
    <row r="222" spans="2:42" ht="27" customHeight="1">
      <c r="B222" s="3066">
        <v>230</v>
      </c>
      <c r="C222" s="3066" t="s">
        <v>3142</v>
      </c>
      <c r="D222" s="3066" t="s">
        <v>3915</v>
      </c>
      <c r="E222" s="3066" t="s">
        <v>4395</v>
      </c>
      <c r="F222" s="3066" t="s">
        <v>3917</v>
      </c>
      <c r="G222" s="3066" t="s">
        <v>1373</v>
      </c>
      <c r="H222" s="3066" t="s">
        <v>3560</v>
      </c>
      <c r="I222" s="3066" t="s">
        <v>3827</v>
      </c>
      <c r="J222" s="3066" t="s">
        <v>3828</v>
      </c>
      <c r="K222" s="3066" t="s">
        <v>3560</v>
      </c>
      <c r="L222" s="3066" t="s">
        <v>3829</v>
      </c>
      <c r="M222" s="3066" t="s">
        <v>4396</v>
      </c>
      <c r="N222" s="3066">
        <v>41.5</v>
      </c>
      <c r="O222" s="3066" t="s">
        <v>3583</v>
      </c>
      <c r="P222" s="3066" t="s">
        <v>3566</v>
      </c>
      <c r="Q222" s="3066">
        <v>0</v>
      </c>
      <c r="R222" s="3066">
        <v>0</v>
      </c>
      <c r="S222" s="3066" t="s">
        <v>3577</v>
      </c>
      <c r="T222" s="3066">
        <v>20</v>
      </c>
      <c r="U222" s="3066">
        <v>830</v>
      </c>
      <c r="V222" s="3066" t="s">
        <v>3560</v>
      </c>
      <c r="W222" s="3066" t="s">
        <v>3568</v>
      </c>
      <c r="X222" s="3066">
        <v>2</v>
      </c>
      <c r="Y222" s="3066">
        <v>996</v>
      </c>
      <c r="Z222" s="3066" t="s">
        <v>3568</v>
      </c>
      <c r="AA222" s="3066" t="s">
        <v>3560</v>
      </c>
      <c r="AB222" s="3066" t="s">
        <v>3584</v>
      </c>
      <c r="AC222" s="3066" t="s">
        <v>3584</v>
      </c>
      <c r="AD222" s="3066" t="s">
        <v>3584</v>
      </c>
      <c r="AE222" s="3066" t="s">
        <v>3560</v>
      </c>
      <c r="AF222" s="3067">
        <v>830</v>
      </c>
      <c r="AG222" s="3066">
        <v>830</v>
      </c>
      <c r="AH222" s="3066">
        <v>83</v>
      </c>
      <c r="AI222" s="3066">
        <v>83</v>
      </c>
      <c r="AJ222" s="3066">
        <v>75.89</v>
      </c>
      <c r="AK222" s="3066">
        <v>75.89</v>
      </c>
      <c r="AL222" s="3066">
        <v>988.89</v>
      </c>
      <c r="AM222" s="3066">
        <v>988.89</v>
      </c>
      <c r="AN222" s="3066" t="s">
        <v>3560</v>
      </c>
      <c r="AP222" s="3068">
        <f t="shared" si="3"/>
        <v>20</v>
      </c>
    </row>
    <row r="223" spans="2:42" ht="27" customHeight="1">
      <c r="B223" s="3066">
        <v>231</v>
      </c>
      <c r="C223" s="3066" t="s">
        <v>3142</v>
      </c>
      <c r="D223" s="3066" t="s">
        <v>3926</v>
      </c>
      <c r="E223" s="3066" t="s">
        <v>4397</v>
      </c>
      <c r="F223" s="3066" t="s">
        <v>3917</v>
      </c>
      <c r="G223" s="3066" t="s">
        <v>3560</v>
      </c>
      <c r="H223" s="3066" t="s">
        <v>3560</v>
      </c>
      <c r="I223" s="3066" t="s">
        <v>3560</v>
      </c>
      <c r="J223" s="3066" t="s">
        <v>3560</v>
      </c>
      <c r="K223" s="3066" t="s">
        <v>3560</v>
      </c>
      <c r="L223" s="3066" t="s">
        <v>3560</v>
      </c>
      <c r="M223" s="3066" t="s">
        <v>4398</v>
      </c>
      <c r="N223" s="3066">
        <v>454</v>
      </c>
      <c r="O223" s="3066" t="s">
        <v>3560</v>
      </c>
      <c r="P223" s="3066" t="s">
        <v>3560</v>
      </c>
      <c r="Q223" s="3066">
        <v>0</v>
      </c>
      <c r="R223" s="3066">
        <v>0</v>
      </c>
      <c r="S223" s="3066" t="s">
        <v>3577</v>
      </c>
      <c r="T223" s="3066">
        <v>0</v>
      </c>
      <c r="U223" s="3066">
        <v>0</v>
      </c>
      <c r="V223" s="3066" t="s">
        <v>3560</v>
      </c>
      <c r="W223" s="3066" t="s">
        <v>3568</v>
      </c>
      <c r="X223" s="3066">
        <v>0</v>
      </c>
      <c r="Y223" s="3066">
        <v>0</v>
      </c>
      <c r="Z223" s="3066" t="s">
        <v>3568</v>
      </c>
      <c r="AA223" s="3066" t="s">
        <v>3560</v>
      </c>
      <c r="AB223" s="3066" t="s">
        <v>3560</v>
      </c>
      <c r="AC223" s="3066" t="s">
        <v>3560</v>
      </c>
      <c r="AD223" s="3066" t="s">
        <v>3560</v>
      </c>
      <c r="AE223" s="3066" t="s">
        <v>3560</v>
      </c>
      <c r="AF223" s="3067">
        <v>0</v>
      </c>
      <c r="AG223" s="3066">
        <v>0</v>
      </c>
      <c r="AH223" s="3066">
        <v>0</v>
      </c>
      <c r="AI223" s="3066">
        <v>0</v>
      </c>
      <c r="AJ223" s="3066">
        <v>0</v>
      </c>
      <c r="AK223" s="3066">
        <v>0</v>
      </c>
      <c r="AL223" s="3066">
        <v>0</v>
      </c>
      <c r="AM223" s="3066">
        <v>0</v>
      </c>
      <c r="AN223" s="3066" t="s">
        <v>3560</v>
      </c>
      <c r="AP223" s="3068">
        <f t="shared" si="3"/>
        <v>0</v>
      </c>
    </row>
    <row r="224" spans="2:42" ht="27" customHeight="1">
      <c r="B224" s="3066">
        <v>232</v>
      </c>
      <c r="C224" s="3066" t="s">
        <v>3142</v>
      </c>
      <c r="D224" s="3066" t="s">
        <v>3972</v>
      </c>
      <c r="E224" s="3066" t="s">
        <v>4399</v>
      </c>
      <c r="F224" s="3066" t="s">
        <v>3917</v>
      </c>
      <c r="G224" s="3066" t="s">
        <v>3560</v>
      </c>
      <c r="H224" s="3066" t="s">
        <v>3560</v>
      </c>
      <c r="I224" s="3066" t="s">
        <v>3560</v>
      </c>
      <c r="J224" s="3066" t="s">
        <v>3560</v>
      </c>
      <c r="K224" s="3066" t="s">
        <v>3560</v>
      </c>
      <c r="L224" s="3066" t="s">
        <v>3560</v>
      </c>
      <c r="M224" s="3066" t="s">
        <v>4400</v>
      </c>
      <c r="N224" s="3066">
        <v>454</v>
      </c>
      <c r="O224" s="3066" t="s">
        <v>3560</v>
      </c>
      <c r="P224" s="3066" t="s">
        <v>3560</v>
      </c>
      <c r="Q224" s="3066">
        <v>0</v>
      </c>
      <c r="R224" s="3066">
        <v>0</v>
      </c>
      <c r="S224" s="3066" t="s">
        <v>3577</v>
      </c>
      <c r="T224" s="3066">
        <v>0</v>
      </c>
      <c r="U224" s="3066">
        <v>0</v>
      </c>
      <c r="V224" s="3066" t="s">
        <v>3560</v>
      </c>
      <c r="W224" s="3066" t="s">
        <v>3568</v>
      </c>
      <c r="X224" s="3066">
        <v>0</v>
      </c>
      <c r="Y224" s="3066">
        <v>0</v>
      </c>
      <c r="Z224" s="3066" t="s">
        <v>3568</v>
      </c>
      <c r="AA224" s="3066" t="s">
        <v>3560</v>
      </c>
      <c r="AB224" s="3066" t="s">
        <v>3560</v>
      </c>
      <c r="AC224" s="3066" t="s">
        <v>3560</v>
      </c>
      <c r="AD224" s="3066" t="s">
        <v>3560</v>
      </c>
      <c r="AE224" s="3066" t="s">
        <v>3560</v>
      </c>
      <c r="AF224" s="3067">
        <v>0</v>
      </c>
      <c r="AG224" s="3066">
        <v>0</v>
      </c>
      <c r="AH224" s="3066">
        <v>0</v>
      </c>
      <c r="AI224" s="3066">
        <v>0</v>
      </c>
      <c r="AJ224" s="3066">
        <v>0</v>
      </c>
      <c r="AK224" s="3066">
        <v>0</v>
      </c>
      <c r="AL224" s="3066">
        <v>0</v>
      </c>
      <c r="AM224" s="3066">
        <v>0</v>
      </c>
      <c r="AN224" s="3066" t="s">
        <v>3560</v>
      </c>
      <c r="AP224" s="3068">
        <f t="shared" si="3"/>
        <v>0</v>
      </c>
    </row>
    <row r="225" spans="2:42" ht="27" customHeight="1">
      <c r="B225" s="3066">
        <v>233</v>
      </c>
      <c r="C225" s="3066" t="s">
        <v>3142</v>
      </c>
      <c r="D225" s="3066" t="s">
        <v>4209</v>
      </c>
      <c r="E225" s="3066" t="s">
        <v>4401</v>
      </c>
      <c r="F225" s="3066" t="s">
        <v>3917</v>
      </c>
      <c r="G225" s="3066" t="s">
        <v>3560</v>
      </c>
      <c r="H225" s="3066" t="s">
        <v>3560</v>
      </c>
      <c r="I225" s="3066" t="s">
        <v>4402</v>
      </c>
      <c r="J225" s="3066" t="s">
        <v>4402</v>
      </c>
      <c r="K225" s="3066" t="s">
        <v>3560</v>
      </c>
      <c r="L225" s="3066" t="s">
        <v>4403</v>
      </c>
      <c r="M225" s="3066" t="s">
        <v>4404</v>
      </c>
      <c r="N225" s="3066">
        <v>37.5</v>
      </c>
      <c r="O225" s="3066" t="s">
        <v>3744</v>
      </c>
      <c r="P225" s="3066" t="s">
        <v>3566</v>
      </c>
      <c r="Q225" s="3066">
        <v>1</v>
      </c>
      <c r="R225" s="3066">
        <v>2505</v>
      </c>
      <c r="S225" s="3066" t="s">
        <v>3567</v>
      </c>
      <c r="T225" s="3066">
        <v>20</v>
      </c>
      <c r="U225" s="3066">
        <v>750</v>
      </c>
      <c r="V225" s="3066" t="s">
        <v>3560</v>
      </c>
      <c r="W225" s="3066" t="s">
        <v>3568</v>
      </c>
      <c r="X225" s="3066">
        <v>2.27</v>
      </c>
      <c r="Y225" s="3066">
        <v>1020</v>
      </c>
      <c r="Z225" s="3066" t="s">
        <v>3568</v>
      </c>
      <c r="AA225" s="3066" t="s">
        <v>3560</v>
      </c>
      <c r="AB225" s="3066" t="s">
        <v>3746</v>
      </c>
      <c r="AC225" s="3066" t="s">
        <v>3746</v>
      </c>
      <c r="AD225" s="3066" t="s">
        <v>3746</v>
      </c>
      <c r="AE225" s="3066" t="s">
        <v>3560</v>
      </c>
      <c r="AF225" s="3067">
        <v>750</v>
      </c>
      <c r="AG225" s="3066">
        <v>750</v>
      </c>
      <c r="AH225" s="3066">
        <v>85</v>
      </c>
      <c r="AI225" s="3066">
        <v>85</v>
      </c>
      <c r="AJ225" s="3066">
        <v>127.99</v>
      </c>
      <c r="AK225" s="3066">
        <v>127.99</v>
      </c>
      <c r="AL225" s="3066">
        <v>962.99</v>
      </c>
      <c r="AM225" s="3066">
        <v>962.99</v>
      </c>
      <c r="AN225" s="3066" t="s">
        <v>3560</v>
      </c>
      <c r="AP225" s="3068">
        <f t="shared" si="3"/>
        <v>20</v>
      </c>
    </row>
    <row r="226" spans="2:42" ht="27" customHeight="1">
      <c r="B226" s="3066">
        <v>234</v>
      </c>
      <c r="C226" s="3066" t="s">
        <v>3142</v>
      </c>
      <c r="D226" s="3066" t="s">
        <v>4209</v>
      </c>
      <c r="E226" s="3066" t="s">
        <v>4405</v>
      </c>
      <c r="F226" s="3066" t="s">
        <v>3917</v>
      </c>
      <c r="G226" s="3066" t="s">
        <v>1373</v>
      </c>
      <c r="H226" s="3066" t="s">
        <v>3560</v>
      </c>
      <c r="I226" s="3066" t="s">
        <v>4406</v>
      </c>
      <c r="J226" s="3066" t="s">
        <v>4406</v>
      </c>
      <c r="K226" s="3066" t="s">
        <v>3560</v>
      </c>
      <c r="L226" s="3066" t="s">
        <v>4407</v>
      </c>
      <c r="M226" s="3066" t="s">
        <v>4408</v>
      </c>
      <c r="N226" s="3066">
        <v>37.5</v>
      </c>
      <c r="O226" s="3066" t="s">
        <v>3619</v>
      </c>
      <c r="P226" s="3066" t="s">
        <v>3566</v>
      </c>
      <c r="Q226" s="3066">
        <v>1</v>
      </c>
      <c r="R226" s="3066">
        <v>2280</v>
      </c>
      <c r="S226" s="3066" t="s">
        <v>3567</v>
      </c>
      <c r="T226" s="3066">
        <v>21</v>
      </c>
      <c r="U226" s="3066">
        <v>787.5</v>
      </c>
      <c r="V226" s="3066" t="s">
        <v>3560</v>
      </c>
      <c r="W226" s="3066" t="s">
        <v>3568</v>
      </c>
      <c r="X226" s="3066">
        <v>2.27</v>
      </c>
      <c r="Y226" s="3066">
        <v>1020</v>
      </c>
      <c r="Z226" s="3066" t="s">
        <v>3568</v>
      </c>
      <c r="AA226" s="3066" t="s">
        <v>3560</v>
      </c>
      <c r="AB226" s="3066" t="s">
        <v>3584</v>
      </c>
      <c r="AC226" s="3066" t="s">
        <v>3584</v>
      </c>
      <c r="AD226" s="3066" t="s">
        <v>3584</v>
      </c>
      <c r="AE226" s="3066" t="s">
        <v>3560</v>
      </c>
      <c r="AF226" s="3067">
        <v>787.5</v>
      </c>
      <c r="AG226" s="3066">
        <v>787.5</v>
      </c>
      <c r="AH226" s="3066">
        <v>85</v>
      </c>
      <c r="AI226" s="3066">
        <v>85</v>
      </c>
      <c r="AJ226" s="3066">
        <v>56.69</v>
      </c>
      <c r="AK226" s="3066">
        <v>56.69</v>
      </c>
      <c r="AL226" s="3066">
        <v>929.19</v>
      </c>
      <c r="AM226" s="3066">
        <v>929.19</v>
      </c>
      <c r="AN226" s="3066" t="s">
        <v>3560</v>
      </c>
      <c r="AP226" s="3068">
        <f t="shared" si="3"/>
        <v>21</v>
      </c>
    </row>
    <row r="227" spans="2:42" ht="27" customHeight="1">
      <c r="B227" s="3066">
        <v>235</v>
      </c>
      <c r="C227" s="3066" t="s">
        <v>3142</v>
      </c>
      <c r="D227" s="3066" t="s">
        <v>4209</v>
      </c>
      <c r="E227" s="3066" t="s">
        <v>4409</v>
      </c>
      <c r="F227" s="3066" t="s">
        <v>3917</v>
      </c>
      <c r="G227" s="3066" t="s">
        <v>1373</v>
      </c>
      <c r="H227" s="3066" t="s">
        <v>3560</v>
      </c>
      <c r="I227" s="3066" t="s">
        <v>4410</v>
      </c>
      <c r="J227" s="3066" t="s">
        <v>4410</v>
      </c>
      <c r="K227" s="3066" t="s">
        <v>3560</v>
      </c>
      <c r="L227" s="3066" t="s">
        <v>4411</v>
      </c>
      <c r="M227" s="3066" t="s">
        <v>4412</v>
      </c>
      <c r="N227" s="3066">
        <v>37.5</v>
      </c>
      <c r="O227" s="3066" t="s">
        <v>3619</v>
      </c>
      <c r="P227" s="3066" t="s">
        <v>3745</v>
      </c>
      <c r="Q227" s="3066">
        <v>1</v>
      </c>
      <c r="R227" s="3066">
        <v>1779</v>
      </c>
      <c r="S227" s="3066" t="s">
        <v>3567</v>
      </c>
      <c r="T227" s="3066">
        <v>21</v>
      </c>
      <c r="U227" s="3066">
        <v>787.5</v>
      </c>
      <c r="V227" s="3066" t="s">
        <v>3560</v>
      </c>
      <c r="W227" s="3066" t="s">
        <v>3568</v>
      </c>
      <c r="X227" s="3066">
        <v>2.27</v>
      </c>
      <c r="Y227" s="3066">
        <v>1020</v>
      </c>
      <c r="Z227" s="3066" t="s">
        <v>3568</v>
      </c>
      <c r="AA227" s="3066" t="s">
        <v>3560</v>
      </c>
      <c r="AB227" s="3066" t="s">
        <v>3584</v>
      </c>
      <c r="AC227" s="3066" t="s">
        <v>3584</v>
      </c>
      <c r="AD227" s="3066" t="s">
        <v>3584</v>
      </c>
      <c r="AE227" s="3066" t="s">
        <v>3560</v>
      </c>
      <c r="AF227" s="3067">
        <v>1575</v>
      </c>
      <c r="AG227" s="3066">
        <v>0</v>
      </c>
      <c r="AH227" s="3066">
        <v>170</v>
      </c>
      <c r="AI227" s="3066">
        <v>0</v>
      </c>
      <c r="AJ227" s="3066">
        <v>304.68</v>
      </c>
      <c r="AK227" s="3066">
        <v>0</v>
      </c>
      <c r="AL227" s="3066">
        <v>2049.6799999999998</v>
      </c>
      <c r="AM227" s="3066">
        <v>0</v>
      </c>
      <c r="AN227" s="3066" t="s">
        <v>3560</v>
      </c>
      <c r="AP227" s="3068">
        <f t="shared" si="3"/>
        <v>42</v>
      </c>
    </row>
    <row r="228" spans="2:42" ht="27" customHeight="1">
      <c r="B228" s="3066">
        <v>236</v>
      </c>
      <c r="C228" s="3066" t="s">
        <v>3142</v>
      </c>
      <c r="D228" s="3066" t="s">
        <v>4209</v>
      </c>
      <c r="E228" s="3066" t="s">
        <v>4413</v>
      </c>
      <c r="F228" s="3066" t="s">
        <v>3917</v>
      </c>
      <c r="G228" s="3066" t="s">
        <v>1373</v>
      </c>
      <c r="H228" s="3066" t="s">
        <v>3560</v>
      </c>
      <c r="I228" s="3066" t="s">
        <v>4414</v>
      </c>
      <c r="J228" s="3066" t="s">
        <v>4414</v>
      </c>
      <c r="K228" s="3066" t="s">
        <v>3560</v>
      </c>
      <c r="L228" s="3066" t="s">
        <v>4415</v>
      </c>
      <c r="M228" s="3066" t="s">
        <v>4416</v>
      </c>
      <c r="N228" s="3066">
        <v>37.5</v>
      </c>
      <c r="O228" s="3066" t="s">
        <v>3939</v>
      </c>
      <c r="P228" s="3066" t="s">
        <v>3940</v>
      </c>
      <c r="Q228" s="3066">
        <v>1</v>
      </c>
      <c r="R228" s="3066">
        <v>4175</v>
      </c>
      <c r="S228" s="3066" t="s">
        <v>3567</v>
      </c>
      <c r="T228" s="3066">
        <v>20</v>
      </c>
      <c r="U228" s="3066">
        <v>750</v>
      </c>
      <c r="V228" s="3066" t="s">
        <v>3560</v>
      </c>
      <c r="W228" s="3066" t="s">
        <v>3568</v>
      </c>
      <c r="X228" s="3066">
        <v>2.27</v>
      </c>
      <c r="Y228" s="3066">
        <v>1020</v>
      </c>
      <c r="Z228" s="3066" t="s">
        <v>3568</v>
      </c>
      <c r="AA228" s="3066" t="s">
        <v>3560</v>
      </c>
      <c r="AB228" s="3066" t="s">
        <v>3941</v>
      </c>
      <c r="AC228" s="3066" t="s">
        <v>3941</v>
      </c>
      <c r="AD228" s="3066" t="s">
        <v>3941</v>
      </c>
      <c r="AE228" s="3066" t="s">
        <v>3560</v>
      </c>
      <c r="AF228" s="3067">
        <v>750</v>
      </c>
      <c r="AG228" s="3066">
        <v>750</v>
      </c>
      <c r="AH228" s="3066">
        <v>85</v>
      </c>
      <c r="AI228" s="3066">
        <v>85</v>
      </c>
      <c r="AJ228" s="3066">
        <v>40.200000000000003</v>
      </c>
      <c r="AK228" s="3066">
        <v>40.200000000000003</v>
      </c>
      <c r="AL228" s="3066">
        <v>875.2</v>
      </c>
      <c r="AM228" s="3066">
        <v>875.2</v>
      </c>
      <c r="AN228" s="3066" t="s">
        <v>3560</v>
      </c>
      <c r="AP228" s="3068">
        <f t="shared" si="3"/>
        <v>20</v>
      </c>
    </row>
    <row r="229" spans="2:42" ht="27" customHeight="1">
      <c r="B229" s="3066">
        <v>237</v>
      </c>
      <c r="C229" s="3066" t="s">
        <v>3142</v>
      </c>
      <c r="D229" s="3066" t="s">
        <v>4209</v>
      </c>
      <c r="E229" s="3066" t="s">
        <v>4413</v>
      </c>
      <c r="F229" s="3066" t="s">
        <v>3917</v>
      </c>
      <c r="G229" s="3066" t="s">
        <v>1373</v>
      </c>
      <c r="H229" s="3066" t="s">
        <v>3560</v>
      </c>
      <c r="I229" s="3066" t="s">
        <v>4414</v>
      </c>
      <c r="J229" s="3066" t="s">
        <v>4414</v>
      </c>
      <c r="K229" s="3066" t="s">
        <v>3560</v>
      </c>
      <c r="L229" s="3066" t="s">
        <v>4415</v>
      </c>
      <c r="M229" s="3066" t="s">
        <v>4416</v>
      </c>
      <c r="N229" s="3066">
        <v>37.5</v>
      </c>
      <c r="O229" s="3066" t="s">
        <v>4417</v>
      </c>
      <c r="P229" s="3066" t="s">
        <v>3566</v>
      </c>
      <c r="Q229" s="3066">
        <v>0</v>
      </c>
      <c r="R229" s="3066">
        <v>4175</v>
      </c>
      <c r="S229" s="3066" t="s">
        <v>3567</v>
      </c>
      <c r="T229" s="3066">
        <v>21</v>
      </c>
      <c r="U229" s="3066">
        <v>787.5</v>
      </c>
      <c r="V229" s="3066" t="s">
        <v>3560</v>
      </c>
      <c r="W229" s="3066" t="s">
        <v>3568</v>
      </c>
      <c r="X229" s="3066">
        <v>2.27</v>
      </c>
      <c r="Y229" s="3066">
        <v>1020</v>
      </c>
      <c r="Z229" s="3066" t="s">
        <v>3568</v>
      </c>
      <c r="AA229" s="3066" t="s">
        <v>3560</v>
      </c>
      <c r="AB229" s="3066" t="s">
        <v>4418</v>
      </c>
      <c r="AC229" s="3066" t="s">
        <v>4418</v>
      </c>
      <c r="AD229" s="3066" t="s">
        <v>4418</v>
      </c>
      <c r="AE229" s="3066" t="s">
        <v>3560</v>
      </c>
      <c r="AF229" s="3067">
        <v>750</v>
      </c>
      <c r="AG229" s="3066">
        <v>750</v>
      </c>
      <c r="AH229" s="3066">
        <v>85</v>
      </c>
      <c r="AI229" s="3066">
        <v>85</v>
      </c>
      <c r="AJ229" s="3066">
        <v>40.200000000000003</v>
      </c>
      <c r="AK229" s="3066">
        <v>40.200000000000003</v>
      </c>
      <c r="AL229" s="3066">
        <v>875.2</v>
      </c>
      <c r="AM229" s="3066">
        <v>875.2</v>
      </c>
      <c r="AN229" s="3066" t="s">
        <v>3560</v>
      </c>
      <c r="AP229" s="3068">
        <f t="shared" si="3"/>
        <v>20</v>
      </c>
    </row>
    <row r="230" spans="2:42" ht="27" customHeight="1">
      <c r="B230" s="3066">
        <v>238</v>
      </c>
      <c r="C230" s="3066" t="s">
        <v>3142</v>
      </c>
      <c r="D230" s="3066" t="s">
        <v>4209</v>
      </c>
      <c r="E230" s="3066" t="s">
        <v>4419</v>
      </c>
      <c r="F230" s="3066" t="s">
        <v>3917</v>
      </c>
      <c r="G230" s="3066" t="s">
        <v>1373</v>
      </c>
      <c r="H230" s="3066" t="s">
        <v>3560</v>
      </c>
      <c r="I230" s="3066" t="s">
        <v>4420</v>
      </c>
      <c r="J230" s="3066" t="s">
        <v>4421</v>
      </c>
      <c r="K230" s="3066" t="s">
        <v>3560</v>
      </c>
      <c r="L230" s="3066" t="s">
        <v>4422</v>
      </c>
      <c r="M230" s="3066" t="s">
        <v>4423</v>
      </c>
      <c r="N230" s="3066">
        <v>37.5</v>
      </c>
      <c r="O230" s="3066" t="s">
        <v>3619</v>
      </c>
      <c r="P230" s="3066" t="s">
        <v>3566</v>
      </c>
      <c r="Q230" s="3066">
        <v>1</v>
      </c>
      <c r="R230" s="3066">
        <v>3948</v>
      </c>
      <c r="S230" s="3066" t="s">
        <v>3567</v>
      </c>
      <c r="T230" s="3066">
        <v>21</v>
      </c>
      <c r="U230" s="3066">
        <v>787.5</v>
      </c>
      <c r="V230" s="3066" t="s">
        <v>3560</v>
      </c>
      <c r="W230" s="3066" t="s">
        <v>3568</v>
      </c>
      <c r="X230" s="3066">
        <v>2.27</v>
      </c>
      <c r="Y230" s="3066">
        <v>1020</v>
      </c>
      <c r="Z230" s="3066" t="s">
        <v>3568</v>
      </c>
      <c r="AA230" s="3066" t="s">
        <v>3560</v>
      </c>
      <c r="AB230" s="3066" t="s">
        <v>3584</v>
      </c>
      <c r="AC230" s="3066" t="s">
        <v>3584</v>
      </c>
      <c r="AD230" s="3066" t="s">
        <v>3584</v>
      </c>
      <c r="AE230" s="3066" t="s">
        <v>3560</v>
      </c>
      <c r="AF230" s="3067">
        <v>787.5</v>
      </c>
      <c r="AG230" s="3066">
        <v>0</v>
      </c>
      <c r="AH230" s="3066">
        <v>85</v>
      </c>
      <c r="AI230" s="3066">
        <v>0</v>
      </c>
      <c r="AJ230" s="3066">
        <v>23.63</v>
      </c>
      <c r="AK230" s="3066">
        <v>0</v>
      </c>
      <c r="AL230" s="3066">
        <v>896.13</v>
      </c>
      <c r="AM230" s="3066">
        <v>0</v>
      </c>
      <c r="AN230" s="3066" t="s">
        <v>3560</v>
      </c>
      <c r="AP230" s="3068">
        <f t="shared" si="3"/>
        <v>21</v>
      </c>
    </row>
    <row r="231" spans="2:42" ht="27" customHeight="1">
      <c r="B231" s="3066">
        <v>239</v>
      </c>
      <c r="C231" s="3066" t="s">
        <v>3142</v>
      </c>
      <c r="D231" s="3066" t="s">
        <v>4209</v>
      </c>
      <c r="E231" s="3066" t="s">
        <v>4424</v>
      </c>
      <c r="F231" s="3066" t="s">
        <v>3917</v>
      </c>
      <c r="G231" s="3066" t="s">
        <v>3560</v>
      </c>
      <c r="H231" s="3066" t="s">
        <v>3560</v>
      </c>
      <c r="I231" s="3066" t="s">
        <v>4425</v>
      </c>
      <c r="J231" s="3066" t="s">
        <v>4425</v>
      </c>
      <c r="K231" s="3066" t="s">
        <v>3560</v>
      </c>
      <c r="L231" s="3066" t="s">
        <v>4426</v>
      </c>
      <c r="M231" s="3066" t="s">
        <v>4427</v>
      </c>
      <c r="N231" s="3066">
        <v>37.5</v>
      </c>
      <c r="O231" s="3066" t="s">
        <v>4428</v>
      </c>
      <c r="P231" s="3066" t="s">
        <v>3566</v>
      </c>
      <c r="Q231" s="3066">
        <v>1</v>
      </c>
      <c r="R231" s="3066">
        <v>3800</v>
      </c>
      <c r="S231" s="3066" t="s">
        <v>3567</v>
      </c>
      <c r="T231" s="3066">
        <v>20</v>
      </c>
      <c r="U231" s="3066">
        <v>750</v>
      </c>
      <c r="V231" s="3066" t="s">
        <v>3560</v>
      </c>
      <c r="W231" s="3066" t="s">
        <v>3568</v>
      </c>
      <c r="X231" s="3066">
        <v>2.27</v>
      </c>
      <c r="Y231" s="3066">
        <v>1020</v>
      </c>
      <c r="Z231" s="3066" t="s">
        <v>3568</v>
      </c>
      <c r="AA231" s="3066" t="s">
        <v>3560</v>
      </c>
      <c r="AB231" s="3066" t="s">
        <v>4429</v>
      </c>
      <c r="AC231" s="3066" t="s">
        <v>4429</v>
      </c>
      <c r="AD231" s="3066" t="s">
        <v>4429</v>
      </c>
      <c r="AE231" s="3066" t="s">
        <v>3560</v>
      </c>
      <c r="AF231" s="3067">
        <v>750</v>
      </c>
      <c r="AG231" s="3066">
        <v>750</v>
      </c>
      <c r="AH231" s="3066">
        <v>85</v>
      </c>
      <c r="AI231" s="3066">
        <v>85</v>
      </c>
      <c r="AJ231" s="3066">
        <v>39.01</v>
      </c>
      <c r="AK231" s="3066">
        <v>39.01</v>
      </c>
      <c r="AL231" s="3066">
        <v>874.01</v>
      </c>
      <c r="AM231" s="3066">
        <v>874.01</v>
      </c>
      <c r="AN231" s="3066" t="s">
        <v>3560</v>
      </c>
      <c r="AP231" s="3068">
        <f t="shared" si="3"/>
        <v>20</v>
      </c>
    </row>
    <row r="232" spans="2:42" ht="27" customHeight="1">
      <c r="B232" s="3066">
        <v>240</v>
      </c>
      <c r="C232" s="3066" t="s">
        <v>3142</v>
      </c>
      <c r="D232" s="3066" t="s">
        <v>4209</v>
      </c>
      <c r="E232" s="3066" t="s">
        <v>4430</v>
      </c>
      <c r="F232" s="3066" t="s">
        <v>3917</v>
      </c>
      <c r="G232" s="3066" t="s">
        <v>1373</v>
      </c>
      <c r="H232" s="3066" t="s">
        <v>3560</v>
      </c>
      <c r="I232" s="3066" t="s">
        <v>4431</v>
      </c>
      <c r="J232" s="3066" t="s">
        <v>4431</v>
      </c>
      <c r="K232" s="3066" t="s">
        <v>3560</v>
      </c>
      <c r="L232" s="3066" t="s">
        <v>4432</v>
      </c>
      <c r="M232" s="3066" t="s">
        <v>4433</v>
      </c>
      <c r="N232" s="3066">
        <v>37.5</v>
      </c>
      <c r="O232" s="3066" t="s">
        <v>4064</v>
      </c>
      <c r="P232" s="3066" t="s">
        <v>3566</v>
      </c>
      <c r="Q232" s="3066">
        <v>5</v>
      </c>
      <c r="R232" s="3066">
        <v>0</v>
      </c>
      <c r="S232" s="3066" t="s">
        <v>3577</v>
      </c>
      <c r="T232" s="3066">
        <v>2.67</v>
      </c>
      <c r="U232" s="3066">
        <v>100</v>
      </c>
      <c r="V232" s="3066" t="s">
        <v>3560</v>
      </c>
      <c r="W232" s="3066" t="s">
        <v>3568</v>
      </c>
      <c r="X232" s="3066">
        <v>0.27</v>
      </c>
      <c r="Y232" s="3066">
        <v>120</v>
      </c>
      <c r="Z232" s="3066" t="s">
        <v>3568</v>
      </c>
      <c r="AA232" s="3066" t="s">
        <v>3560</v>
      </c>
      <c r="AB232" s="3066" t="s">
        <v>3642</v>
      </c>
      <c r="AC232" s="3066" t="s">
        <v>3642</v>
      </c>
      <c r="AD232" s="3066" t="s">
        <v>3642</v>
      </c>
      <c r="AE232" s="3066" t="s">
        <v>3560</v>
      </c>
      <c r="AF232" s="3067">
        <v>100</v>
      </c>
      <c r="AG232" s="3066">
        <v>100</v>
      </c>
      <c r="AH232" s="3066">
        <v>10</v>
      </c>
      <c r="AI232" s="3066">
        <v>10</v>
      </c>
      <c r="AJ232" s="3066">
        <v>10.48</v>
      </c>
      <c r="AK232" s="3066">
        <v>10.48</v>
      </c>
      <c r="AL232" s="3066">
        <v>120.48</v>
      </c>
      <c r="AM232" s="3066">
        <v>120.48</v>
      </c>
      <c r="AN232" s="3066" t="s">
        <v>3560</v>
      </c>
      <c r="AP232" s="3068">
        <f t="shared" si="3"/>
        <v>2.6666666666666665</v>
      </c>
    </row>
    <row r="233" spans="2:42" ht="27" customHeight="1">
      <c r="B233" s="3066">
        <v>241</v>
      </c>
      <c r="C233" s="3066" t="s">
        <v>3142</v>
      </c>
      <c r="D233" s="3066" t="s">
        <v>4209</v>
      </c>
      <c r="E233" s="3066" t="s">
        <v>4434</v>
      </c>
      <c r="F233" s="3066" t="s">
        <v>3917</v>
      </c>
      <c r="G233" s="3066" t="s">
        <v>1373</v>
      </c>
      <c r="H233" s="3066" t="s">
        <v>3560</v>
      </c>
      <c r="I233" s="3066" t="s">
        <v>4435</v>
      </c>
      <c r="J233" s="3066" t="s">
        <v>4435</v>
      </c>
      <c r="K233" s="3066" t="s">
        <v>3560</v>
      </c>
      <c r="L233" s="3066" t="s">
        <v>4436</v>
      </c>
      <c r="M233" s="3066" t="s">
        <v>4437</v>
      </c>
      <c r="N233" s="3066">
        <v>37.5</v>
      </c>
      <c r="O233" s="3066" t="s">
        <v>3939</v>
      </c>
      <c r="P233" s="3066" t="s">
        <v>3940</v>
      </c>
      <c r="Q233" s="3066">
        <v>1</v>
      </c>
      <c r="R233" s="3066">
        <v>2505</v>
      </c>
      <c r="S233" s="3066" t="s">
        <v>3567</v>
      </c>
      <c r="T233" s="3066">
        <v>20</v>
      </c>
      <c r="U233" s="3066">
        <v>750</v>
      </c>
      <c r="V233" s="3066" t="s">
        <v>3560</v>
      </c>
      <c r="W233" s="3066" t="s">
        <v>3568</v>
      </c>
      <c r="X233" s="3066">
        <v>2.27</v>
      </c>
      <c r="Y233" s="3066">
        <v>1020</v>
      </c>
      <c r="Z233" s="3066" t="s">
        <v>3568</v>
      </c>
      <c r="AA233" s="3066" t="s">
        <v>3560</v>
      </c>
      <c r="AB233" s="3066" t="s">
        <v>3941</v>
      </c>
      <c r="AC233" s="3066" t="s">
        <v>3941</v>
      </c>
      <c r="AD233" s="3066" t="s">
        <v>3941</v>
      </c>
      <c r="AE233" s="3066" t="s">
        <v>3560</v>
      </c>
      <c r="AF233" s="3067">
        <v>750</v>
      </c>
      <c r="AG233" s="3066">
        <v>750</v>
      </c>
      <c r="AH233" s="3066">
        <v>85</v>
      </c>
      <c r="AI233" s="3066">
        <v>85</v>
      </c>
      <c r="AJ233" s="3066">
        <v>95.86</v>
      </c>
      <c r="AK233" s="3066">
        <v>95.86</v>
      </c>
      <c r="AL233" s="3066">
        <v>930.86</v>
      </c>
      <c r="AM233" s="3066">
        <v>930.86</v>
      </c>
      <c r="AN233" s="3066" t="s">
        <v>3560</v>
      </c>
      <c r="AP233" s="3068">
        <f t="shared" si="3"/>
        <v>20</v>
      </c>
    </row>
    <row r="234" spans="2:42" ht="27" customHeight="1">
      <c r="B234" s="3066">
        <v>242</v>
      </c>
      <c r="C234" s="3066" t="s">
        <v>3142</v>
      </c>
      <c r="D234" s="3066" t="s">
        <v>4209</v>
      </c>
      <c r="E234" s="3066" t="s">
        <v>4434</v>
      </c>
      <c r="F234" s="3066" t="s">
        <v>3917</v>
      </c>
      <c r="G234" s="3066" t="s">
        <v>1373</v>
      </c>
      <c r="H234" s="3066" t="s">
        <v>3560</v>
      </c>
      <c r="I234" s="3066" t="s">
        <v>4435</v>
      </c>
      <c r="J234" s="3066" t="s">
        <v>4435</v>
      </c>
      <c r="K234" s="3066" t="s">
        <v>3560</v>
      </c>
      <c r="L234" s="3066" t="s">
        <v>4436</v>
      </c>
      <c r="M234" s="3066" t="s">
        <v>4437</v>
      </c>
      <c r="N234" s="3066">
        <v>37.5</v>
      </c>
      <c r="O234" s="3066" t="s">
        <v>4220</v>
      </c>
      <c r="P234" s="3066" t="s">
        <v>3566</v>
      </c>
      <c r="Q234" s="3066">
        <v>0</v>
      </c>
      <c r="R234" s="3066">
        <v>2505</v>
      </c>
      <c r="S234" s="3066" t="s">
        <v>3567</v>
      </c>
      <c r="T234" s="3066">
        <v>21</v>
      </c>
      <c r="U234" s="3066">
        <v>787.5</v>
      </c>
      <c r="V234" s="3066" t="s">
        <v>3560</v>
      </c>
      <c r="W234" s="3066" t="s">
        <v>3568</v>
      </c>
      <c r="X234" s="3066">
        <v>2.27</v>
      </c>
      <c r="Y234" s="3066">
        <v>1020</v>
      </c>
      <c r="Z234" s="3066" t="s">
        <v>3568</v>
      </c>
      <c r="AA234" s="3066" t="s">
        <v>3560</v>
      </c>
      <c r="AB234" s="3066" t="s">
        <v>3943</v>
      </c>
      <c r="AC234" s="3066" t="s">
        <v>3943</v>
      </c>
      <c r="AD234" s="3066" t="s">
        <v>3943</v>
      </c>
      <c r="AE234" s="3066" t="s">
        <v>3560</v>
      </c>
      <c r="AF234" s="3067">
        <v>750</v>
      </c>
      <c r="AG234" s="3066">
        <v>750</v>
      </c>
      <c r="AH234" s="3066">
        <v>85</v>
      </c>
      <c r="AI234" s="3066">
        <v>85</v>
      </c>
      <c r="AJ234" s="3066">
        <v>95.86</v>
      </c>
      <c r="AK234" s="3066">
        <v>95.86</v>
      </c>
      <c r="AL234" s="3066">
        <v>930.86</v>
      </c>
      <c r="AM234" s="3066">
        <v>930.86</v>
      </c>
      <c r="AN234" s="3066" t="s">
        <v>3560</v>
      </c>
      <c r="AP234" s="3068">
        <f t="shared" si="3"/>
        <v>20</v>
      </c>
    </row>
    <row r="235" spans="2:42" ht="27" customHeight="1">
      <c r="B235" s="3066">
        <v>243</v>
      </c>
      <c r="C235" s="3066" t="s">
        <v>3142</v>
      </c>
      <c r="D235" s="3066" t="s">
        <v>4209</v>
      </c>
      <c r="E235" s="3066" t="s">
        <v>4438</v>
      </c>
      <c r="F235" s="3066" t="s">
        <v>3917</v>
      </c>
      <c r="G235" s="3066" t="s">
        <v>1373</v>
      </c>
      <c r="H235" s="3066" t="s">
        <v>3560</v>
      </c>
      <c r="I235" s="3066" t="s">
        <v>4439</v>
      </c>
      <c r="J235" s="3066" t="s">
        <v>4439</v>
      </c>
      <c r="K235" s="3066" t="s">
        <v>3560</v>
      </c>
      <c r="L235" s="3066" t="s">
        <v>4440</v>
      </c>
      <c r="M235" s="3066" t="s">
        <v>4441</v>
      </c>
      <c r="N235" s="3066">
        <v>37.5</v>
      </c>
      <c r="O235" s="3066" t="s">
        <v>3619</v>
      </c>
      <c r="P235" s="3066" t="s">
        <v>3566</v>
      </c>
      <c r="Q235" s="3066">
        <v>1</v>
      </c>
      <c r="R235" s="3066">
        <v>2280</v>
      </c>
      <c r="S235" s="3066" t="s">
        <v>3567</v>
      </c>
      <c r="T235" s="3066">
        <v>21</v>
      </c>
      <c r="U235" s="3066">
        <v>787.5</v>
      </c>
      <c r="V235" s="3066" t="s">
        <v>3560</v>
      </c>
      <c r="W235" s="3066" t="s">
        <v>3568</v>
      </c>
      <c r="X235" s="3066">
        <v>2.27</v>
      </c>
      <c r="Y235" s="3066">
        <v>1020</v>
      </c>
      <c r="Z235" s="3066" t="s">
        <v>3568</v>
      </c>
      <c r="AA235" s="3066" t="s">
        <v>3560</v>
      </c>
      <c r="AB235" s="3066" t="s">
        <v>3584</v>
      </c>
      <c r="AC235" s="3066" t="s">
        <v>3584</v>
      </c>
      <c r="AD235" s="3066" t="s">
        <v>3584</v>
      </c>
      <c r="AE235" s="3066" t="s">
        <v>3560</v>
      </c>
      <c r="AF235" s="3067">
        <v>787.5</v>
      </c>
      <c r="AG235" s="3066">
        <v>787.5</v>
      </c>
      <c r="AH235" s="3066">
        <v>85</v>
      </c>
      <c r="AI235" s="3066">
        <v>85</v>
      </c>
      <c r="AJ235" s="3066">
        <v>99.27</v>
      </c>
      <c r="AK235" s="3066">
        <v>99.27</v>
      </c>
      <c r="AL235" s="3066">
        <v>971.77</v>
      </c>
      <c r="AM235" s="3066">
        <v>971.77</v>
      </c>
      <c r="AN235" s="3066" t="s">
        <v>3560</v>
      </c>
      <c r="AP235" s="3068">
        <f t="shared" si="3"/>
        <v>21</v>
      </c>
    </row>
    <row r="236" spans="2:42" ht="27" customHeight="1">
      <c r="B236" s="3066">
        <v>244</v>
      </c>
      <c r="C236" s="3066" t="s">
        <v>3142</v>
      </c>
      <c r="D236" s="3066" t="s">
        <v>4209</v>
      </c>
      <c r="E236" s="3066" t="s">
        <v>4442</v>
      </c>
      <c r="F236" s="3066" t="s">
        <v>3917</v>
      </c>
      <c r="G236" s="3066" t="s">
        <v>1373</v>
      </c>
      <c r="H236" s="3066" t="s">
        <v>3560</v>
      </c>
      <c r="I236" s="3066" t="s">
        <v>4443</v>
      </c>
      <c r="J236" s="3066" t="s">
        <v>4443</v>
      </c>
      <c r="K236" s="3066" t="s">
        <v>3560</v>
      </c>
      <c r="L236" s="3066" t="s">
        <v>4444</v>
      </c>
      <c r="M236" s="3066" t="s">
        <v>4445</v>
      </c>
      <c r="N236" s="3066">
        <v>37.5</v>
      </c>
      <c r="O236" s="3066" t="s">
        <v>3619</v>
      </c>
      <c r="P236" s="3066" t="s">
        <v>4096</v>
      </c>
      <c r="Q236" s="3066">
        <v>1</v>
      </c>
      <c r="R236" s="3066">
        <v>0</v>
      </c>
      <c r="S236" s="3066" t="s">
        <v>3577</v>
      </c>
      <c r="T236" s="3066">
        <v>21</v>
      </c>
      <c r="U236" s="3066">
        <v>787.5</v>
      </c>
      <c r="V236" s="3066" t="s">
        <v>3560</v>
      </c>
      <c r="W236" s="3066" t="s">
        <v>3568</v>
      </c>
      <c r="X236" s="3066">
        <v>2.27</v>
      </c>
      <c r="Y236" s="3066">
        <v>1020</v>
      </c>
      <c r="Z236" s="3066" t="s">
        <v>3568</v>
      </c>
      <c r="AA236" s="3066" t="s">
        <v>3560</v>
      </c>
      <c r="AB236" s="3066" t="s">
        <v>3584</v>
      </c>
      <c r="AC236" s="3066" t="s">
        <v>3584</v>
      </c>
      <c r="AD236" s="3066" t="s">
        <v>3584</v>
      </c>
      <c r="AE236" s="3066" t="s">
        <v>3560</v>
      </c>
      <c r="AF236" s="3067">
        <v>0</v>
      </c>
      <c r="AG236" s="3066">
        <v>0</v>
      </c>
      <c r="AH236" s="3066">
        <v>0</v>
      </c>
      <c r="AI236" s="3066">
        <v>0</v>
      </c>
      <c r="AJ236" s="3066">
        <v>57.88</v>
      </c>
      <c r="AK236" s="3066">
        <v>0</v>
      </c>
      <c r="AL236" s="3066">
        <v>57.88</v>
      </c>
      <c r="AM236" s="3066">
        <v>0</v>
      </c>
      <c r="AN236" s="3066" t="s">
        <v>3560</v>
      </c>
      <c r="AP236" s="3068">
        <f t="shared" si="3"/>
        <v>0</v>
      </c>
    </row>
    <row r="237" spans="2:42" ht="27" customHeight="1">
      <c r="B237" s="3066">
        <v>245</v>
      </c>
      <c r="C237" s="3066" t="s">
        <v>3142</v>
      </c>
      <c r="D237" s="3066" t="s">
        <v>4209</v>
      </c>
      <c r="E237" s="3066" t="s">
        <v>4446</v>
      </c>
      <c r="F237" s="3066" t="s">
        <v>3917</v>
      </c>
      <c r="G237" s="3066" t="s">
        <v>1373</v>
      </c>
      <c r="H237" s="3066" t="s">
        <v>3560</v>
      </c>
      <c r="I237" s="3066" t="s">
        <v>4447</v>
      </c>
      <c r="J237" s="3066" t="s">
        <v>3560</v>
      </c>
      <c r="K237" s="3066" t="s">
        <v>3560</v>
      </c>
      <c r="L237" s="3066" t="s">
        <v>4448</v>
      </c>
      <c r="M237" s="3066" t="s">
        <v>4449</v>
      </c>
      <c r="N237" s="3066">
        <v>37.5</v>
      </c>
      <c r="O237" s="3066" t="s">
        <v>4064</v>
      </c>
      <c r="P237" s="3066" t="s">
        <v>3566</v>
      </c>
      <c r="Q237" s="3066">
        <v>5</v>
      </c>
      <c r="R237" s="3066">
        <v>0</v>
      </c>
      <c r="S237" s="3066" t="s">
        <v>3577</v>
      </c>
      <c r="T237" s="3066">
        <v>5.33</v>
      </c>
      <c r="U237" s="3066">
        <v>200</v>
      </c>
      <c r="V237" s="3066" t="s">
        <v>3560</v>
      </c>
      <c r="W237" s="3066" t="s">
        <v>3568</v>
      </c>
      <c r="X237" s="3066">
        <v>0.27</v>
      </c>
      <c r="Y237" s="3066">
        <v>120</v>
      </c>
      <c r="Z237" s="3066" t="s">
        <v>3568</v>
      </c>
      <c r="AA237" s="3066" t="s">
        <v>3560</v>
      </c>
      <c r="AB237" s="3066" t="s">
        <v>3642</v>
      </c>
      <c r="AC237" s="3066" t="s">
        <v>3642</v>
      </c>
      <c r="AD237" s="3066" t="s">
        <v>3642</v>
      </c>
      <c r="AE237" s="3066" t="s">
        <v>3560</v>
      </c>
      <c r="AF237" s="3067">
        <v>200</v>
      </c>
      <c r="AG237" s="3066">
        <v>200</v>
      </c>
      <c r="AH237" s="3066">
        <v>10</v>
      </c>
      <c r="AI237" s="3066">
        <v>10</v>
      </c>
      <c r="AJ237" s="3066">
        <v>30.76</v>
      </c>
      <c r="AK237" s="3066">
        <v>30.76</v>
      </c>
      <c r="AL237" s="3066">
        <v>240.76</v>
      </c>
      <c r="AM237" s="3066">
        <v>240.76</v>
      </c>
      <c r="AN237" s="3066" t="s">
        <v>3560</v>
      </c>
      <c r="AP237" s="3068">
        <f t="shared" si="3"/>
        <v>5.333333333333333</v>
      </c>
    </row>
    <row r="238" spans="2:42" ht="27" customHeight="1">
      <c r="B238" s="3066">
        <v>246</v>
      </c>
      <c r="C238" s="3066" t="s">
        <v>3142</v>
      </c>
      <c r="D238" s="3066" t="s">
        <v>4209</v>
      </c>
      <c r="E238" s="3066" t="s">
        <v>4450</v>
      </c>
      <c r="F238" s="3066" t="s">
        <v>3917</v>
      </c>
      <c r="G238" s="3066" t="s">
        <v>1373</v>
      </c>
      <c r="H238" s="3066" t="s">
        <v>3560</v>
      </c>
      <c r="I238" s="3066" t="s">
        <v>4308</v>
      </c>
      <c r="J238" s="3066" t="s">
        <v>3560</v>
      </c>
      <c r="K238" s="3066" t="s">
        <v>3560</v>
      </c>
      <c r="L238" s="3066" t="s">
        <v>4309</v>
      </c>
      <c r="M238" s="3066" t="s">
        <v>4451</v>
      </c>
      <c r="N238" s="3066">
        <v>41.5</v>
      </c>
      <c r="O238" s="3066" t="s">
        <v>4064</v>
      </c>
      <c r="P238" s="3066" t="s">
        <v>3566</v>
      </c>
      <c r="Q238" s="3066">
        <v>5</v>
      </c>
      <c r="R238" s="3066">
        <v>0</v>
      </c>
      <c r="S238" s="3066" t="s">
        <v>3577</v>
      </c>
      <c r="T238" s="3066">
        <v>4.82</v>
      </c>
      <c r="U238" s="3066">
        <v>200</v>
      </c>
      <c r="V238" s="3066" t="s">
        <v>3560</v>
      </c>
      <c r="W238" s="3066" t="s">
        <v>3568</v>
      </c>
      <c r="X238" s="3066">
        <v>0.24</v>
      </c>
      <c r="Y238" s="3066">
        <v>120</v>
      </c>
      <c r="Z238" s="3066" t="s">
        <v>3568</v>
      </c>
      <c r="AA238" s="3066" t="s">
        <v>3560</v>
      </c>
      <c r="AB238" s="3066" t="s">
        <v>3642</v>
      </c>
      <c r="AC238" s="3066" t="s">
        <v>3642</v>
      </c>
      <c r="AD238" s="3066" t="s">
        <v>3642</v>
      </c>
      <c r="AE238" s="3066" t="s">
        <v>3560</v>
      </c>
      <c r="AF238" s="3067">
        <v>200</v>
      </c>
      <c r="AG238" s="3066">
        <v>200</v>
      </c>
      <c r="AH238" s="3066">
        <v>10</v>
      </c>
      <c r="AI238" s="3066">
        <v>10</v>
      </c>
      <c r="AJ238" s="3066">
        <v>24.76</v>
      </c>
      <c r="AK238" s="3066">
        <v>24.76</v>
      </c>
      <c r="AL238" s="3066">
        <v>234.76</v>
      </c>
      <c r="AM238" s="3066">
        <v>234.76</v>
      </c>
      <c r="AN238" s="3066" t="s">
        <v>3560</v>
      </c>
      <c r="AP238" s="3068">
        <f t="shared" si="3"/>
        <v>4.8192771084337354</v>
      </c>
    </row>
    <row r="239" spans="2:42" ht="27" customHeight="1">
      <c r="B239" s="3066">
        <v>247</v>
      </c>
      <c r="C239" s="3066" t="s">
        <v>3142</v>
      </c>
      <c r="D239" s="3066" t="s">
        <v>3901</v>
      </c>
      <c r="E239" s="3066" t="s">
        <v>4452</v>
      </c>
      <c r="F239" s="3066" t="s">
        <v>3917</v>
      </c>
      <c r="G239" s="3066" t="s">
        <v>1373</v>
      </c>
      <c r="H239" s="3066" t="s">
        <v>3560</v>
      </c>
      <c r="I239" s="3066" t="s">
        <v>4453</v>
      </c>
      <c r="J239" s="3066" t="s">
        <v>3560</v>
      </c>
      <c r="K239" s="3066" t="s">
        <v>3560</v>
      </c>
      <c r="L239" s="3066" t="s">
        <v>4454</v>
      </c>
      <c r="M239" s="3066" t="s">
        <v>4455</v>
      </c>
      <c r="N239" s="3066">
        <v>37.5</v>
      </c>
      <c r="O239" s="3066" t="s">
        <v>3619</v>
      </c>
      <c r="P239" s="3066" t="s">
        <v>3566</v>
      </c>
      <c r="Q239" s="3066">
        <v>1</v>
      </c>
      <c r="R239" s="3066">
        <v>2781</v>
      </c>
      <c r="S239" s="3066" t="s">
        <v>3567</v>
      </c>
      <c r="T239" s="3066">
        <v>21</v>
      </c>
      <c r="U239" s="3066">
        <v>787.5</v>
      </c>
      <c r="V239" s="3066" t="s">
        <v>3560</v>
      </c>
      <c r="W239" s="3066" t="s">
        <v>3568</v>
      </c>
      <c r="X239" s="3066">
        <v>2.27</v>
      </c>
      <c r="Y239" s="3066">
        <v>1020</v>
      </c>
      <c r="Z239" s="3066" t="s">
        <v>3568</v>
      </c>
      <c r="AA239" s="3066" t="s">
        <v>3560</v>
      </c>
      <c r="AB239" s="3066" t="s">
        <v>3584</v>
      </c>
      <c r="AC239" s="3066" t="s">
        <v>3584</v>
      </c>
      <c r="AD239" s="3066" t="s">
        <v>3584</v>
      </c>
      <c r="AE239" s="3066" t="s">
        <v>3560</v>
      </c>
      <c r="AF239" s="3067">
        <v>787.5</v>
      </c>
      <c r="AG239" s="3066">
        <v>787.5</v>
      </c>
      <c r="AH239" s="3066">
        <v>85</v>
      </c>
      <c r="AI239" s="3066">
        <v>85</v>
      </c>
      <c r="AJ239" s="3066">
        <v>117.28</v>
      </c>
      <c r="AK239" s="3066">
        <v>117.28</v>
      </c>
      <c r="AL239" s="3066">
        <v>989.78</v>
      </c>
      <c r="AM239" s="3066">
        <v>989.78</v>
      </c>
      <c r="AN239" s="3066" t="s">
        <v>3560</v>
      </c>
      <c r="AP239" s="3068">
        <f t="shared" si="3"/>
        <v>21</v>
      </c>
    </row>
    <row r="240" spans="2:42" ht="27" customHeight="1">
      <c r="B240" s="3066">
        <v>248</v>
      </c>
      <c r="C240" s="3066" t="s">
        <v>3142</v>
      </c>
      <c r="D240" s="3066" t="s">
        <v>3901</v>
      </c>
      <c r="E240" s="3066" t="s">
        <v>4456</v>
      </c>
      <c r="F240" s="3066" t="s">
        <v>3917</v>
      </c>
      <c r="G240" s="3066" t="s">
        <v>1373</v>
      </c>
      <c r="H240" s="3066" t="s">
        <v>3560</v>
      </c>
      <c r="I240" s="3066" t="s">
        <v>4457</v>
      </c>
      <c r="J240" s="3066" t="s">
        <v>3560</v>
      </c>
      <c r="K240" s="3066" t="s">
        <v>3560</v>
      </c>
      <c r="L240" s="3066" t="s">
        <v>4458</v>
      </c>
      <c r="M240" s="3066" t="s">
        <v>4459</v>
      </c>
      <c r="N240" s="3066">
        <v>37.5</v>
      </c>
      <c r="O240" s="3066" t="s">
        <v>3619</v>
      </c>
      <c r="P240" s="3066" t="s">
        <v>3566</v>
      </c>
      <c r="Q240" s="3066">
        <v>1</v>
      </c>
      <c r="R240" s="3066">
        <v>2700</v>
      </c>
      <c r="S240" s="3066" t="s">
        <v>3567</v>
      </c>
      <c r="T240" s="3066">
        <v>21</v>
      </c>
      <c r="U240" s="3066">
        <v>787.5</v>
      </c>
      <c r="V240" s="3066" t="s">
        <v>3560</v>
      </c>
      <c r="W240" s="3066" t="s">
        <v>3568</v>
      </c>
      <c r="X240" s="3066">
        <v>2.27</v>
      </c>
      <c r="Y240" s="3066">
        <v>1020</v>
      </c>
      <c r="Z240" s="3066" t="s">
        <v>3568</v>
      </c>
      <c r="AA240" s="3066" t="s">
        <v>3560</v>
      </c>
      <c r="AB240" s="3066" t="s">
        <v>3584</v>
      </c>
      <c r="AC240" s="3066" t="s">
        <v>3584</v>
      </c>
      <c r="AD240" s="3066" t="s">
        <v>3584</v>
      </c>
      <c r="AE240" s="3066" t="s">
        <v>3560</v>
      </c>
      <c r="AF240" s="3067">
        <v>787.5</v>
      </c>
      <c r="AG240" s="3066">
        <v>0</v>
      </c>
      <c r="AH240" s="3066">
        <v>85</v>
      </c>
      <c r="AI240" s="3066">
        <v>0</v>
      </c>
      <c r="AJ240" s="3066">
        <v>325.23</v>
      </c>
      <c r="AK240" s="3066">
        <v>0</v>
      </c>
      <c r="AL240" s="3066">
        <v>1197.73</v>
      </c>
      <c r="AM240" s="3066">
        <v>0</v>
      </c>
      <c r="AN240" s="3066" t="s">
        <v>3560</v>
      </c>
      <c r="AP240" s="3068">
        <f t="shared" si="3"/>
        <v>21</v>
      </c>
    </row>
    <row r="241" spans="2:42" ht="27" customHeight="1">
      <c r="B241" s="3066">
        <v>249</v>
      </c>
      <c r="C241" s="3066" t="s">
        <v>3142</v>
      </c>
      <c r="D241" s="3066" t="s">
        <v>3901</v>
      </c>
      <c r="E241" s="3066" t="s">
        <v>4460</v>
      </c>
      <c r="F241" s="3066" t="s">
        <v>3917</v>
      </c>
      <c r="G241" s="3066" t="s">
        <v>3560</v>
      </c>
      <c r="H241" s="3066" t="s">
        <v>3560</v>
      </c>
      <c r="I241" s="3066" t="s">
        <v>4461</v>
      </c>
      <c r="J241" s="3066" t="s">
        <v>4461</v>
      </c>
      <c r="K241" s="3066" t="s">
        <v>3560</v>
      </c>
      <c r="L241" s="3066" t="s">
        <v>4462</v>
      </c>
      <c r="M241" s="3066" t="s">
        <v>4463</v>
      </c>
      <c r="N241" s="3066">
        <v>37.5</v>
      </c>
      <c r="O241" s="3066" t="s">
        <v>3785</v>
      </c>
      <c r="P241" s="3066" t="s">
        <v>3566</v>
      </c>
      <c r="Q241" s="3066">
        <v>1</v>
      </c>
      <c r="R241" s="3066">
        <v>3800</v>
      </c>
      <c r="S241" s="3066" t="s">
        <v>3567</v>
      </c>
      <c r="T241" s="3066">
        <v>20</v>
      </c>
      <c r="U241" s="3066">
        <v>750</v>
      </c>
      <c r="V241" s="3066" t="s">
        <v>3560</v>
      </c>
      <c r="W241" s="3066" t="s">
        <v>3568</v>
      </c>
      <c r="X241" s="3066">
        <v>2.27</v>
      </c>
      <c r="Y241" s="3066">
        <v>1020</v>
      </c>
      <c r="Z241" s="3066" t="s">
        <v>3568</v>
      </c>
      <c r="AA241" s="3066" t="s">
        <v>3560</v>
      </c>
      <c r="AB241" s="3066" t="s">
        <v>3591</v>
      </c>
      <c r="AC241" s="3066" t="s">
        <v>3591</v>
      </c>
      <c r="AD241" s="3066" t="s">
        <v>3591</v>
      </c>
      <c r="AE241" s="3066" t="s">
        <v>3560</v>
      </c>
      <c r="AF241" s="3067">
        <v>750</v>
      </c>
      <c r="AG241" s="3066">
        <v>750</v>
      </c>
      <c r="AH241" s="3066">
        <v>85</v>
      </c>
      <c r="AI241" s="3066">
        <v>85</v>
      </c>
      <c r="AJ241" s="3066">
        <v>115.51</v>
      </c>
      <c r="AK241" s="3066">
        <v>115.51</v>
      </c>
      <c r="AL241" s="3066">
        <v>950.51</v>
      </c>
      <c r="AM241" s="3066">
        <v>950.51</v>
      </c>
      <c r="AN241" s="3066" t="s">
        <v>3560</v>
      </c>
      <c r="AP241" s="3068">
        <f t="shared" si="3"/>
        <v>20</v>
      </c>
    </row>
    <row r="242" spans="2:42" ht="27" customHeight="1">
      <c r="B242" s="3066">
        <v>250</v>
      </c>
      <c r="C242" s="3066" t="s">
        <v>3142</v>
      </c>
      <c r="D242" s="3066" t="s">
        <v>3901</v>
      </c>
      <c r="E242" s="3066" t="s">
        <v>4464</v>
      </c>
      <c r="F242" s="3066" t="s">
        <v>3917</v>
      </c>
      <c r="G242" s="3066" t="s">
        <v>1373</v>
      </c>
      <c r="H242" s="3066" t="s">
        <v>3560</v>
      </c>
      <c r="I242" s="3066" t="s">
        <v>4465</v>
      </c>
      <c r="J242" s="3066" t="s">
        <v>3560</v>
      </c>
      <c r="K242" s="3066" t="s">
        <v>3560</v>
      </c>
      <c r="L242" s="3066" t="s">
        <v>4466</v>
      </c>
      <c r="M242" s="3066" t="s">
        <v>4467</v>
      </c>
      <c r="N242" s="3066">
        <v>37.5</v>
      </c>
      <c r="O242" s="3066" t="s">
        <v>3744</v>
      </c>
      <c r="P242" s="3066" t="s">
        <v>3566</v>
      </c>
      <c r="Q242" s="3066">
        <v>1</v>
      </c>
      <c r="R242" s="3066">
        <v>4175</v>
      </c>
      <c r="S242" s="3066" t="s">
        <v>3567</v>
      </c>
      <c r="T242" s="3066">
        <v>20</v>
      </c>
      <c r="U242" s="3066">
        <v>750</v>
      </c>
      <c r="V242" s="3066" t="s">
        <v>3560</v>
      </c>
      <c r="W242" s="3066" t="s">
        <v>3568</v>
      </c>
      <c r="X242" s="3066">
        <v>2.27</v>
      </c>
      <c r="Y242" s="3066">
        <v>1020</v>
      </c>
      <c r="Z242" s="3066" t="s">
        <v>3568</v>
      </c>
      <c r="AA242" s="3066" t="s">
        <v>3560</v>
      </c>
      <c r="AB242" s="3066" t="s">
        <v>3746</v>
      </c>
      <c r="AC242" s="3066" t="s">
        <v>3746</v>
      </c>
      <c r="AD242" s="3066" t="s">
        <v>3746</v>
      </c>
      <c r="AE242" s="3066" t="s">
        <v>3560</v>
      </c>
      <c r="AF242" s="3067">
        <v>750</v>
      </c>
      <c r="AG242" s="3066">
        <v>750</v>
      </c>
      <c r="AH242" s="3066">
        <v>85</v>
      </c>
      <c r="AI242" s="3066">
        <v>85</v>
      </c>
      <c r="AJ242" s="3066">
        <v>129.01</v>
      </c>
      <c r="AK242" s="3066">
        <v>129.01</v>
      </c>
      <c r="AL242" s="3066">
        <v>964.01</v>
      </c>
      <c r="AM242" s="3066">
        <v>964.01</v>
      </c>
      <c r="AN242" s="3066" t="s">
        <v>3560</v>
      </c>
      <c r="AP242" s="3068">
        <f t="shared" si="3"/>
        <v>20</v>
      </c>
    </row>
    <row r="243" spans="2:42" ht="27" customHeight="1">
      <c r="B243" s="3066">
        <v>251</v>
      </c>
      <c r="C243" s="3066" t="s">
        <v>3142</v>
      </c>
      <c r="D243" s="3066" t="s">
        <v>3901</v>
      </c>
      <c r="E243" s="3066" t="s">
        <v>4468</v>
      </c>
      <c r="F243" s="3066" t="s">
        <v>3917</v>
      </c>
      <c r="G243" s="3066" t="s">
        <v>1373</v>
      </c>
      <c r="H243" s="3066" t="s">
        <v>3560</v>
      </c>
      <c r="I243" s="3066" t="s">
        <v>4469</v>
      </c>
      <c r="J243" s="3066" t="s">
        <v>3560</v>
      </c>
      <c r="K243" s="3066" t="s">
        <v>3560</v>
      </c>
      <c r="L243" s="3066" t="s">
        <v>4470</v>
      </c>
      <c r="M243" s="3066" t="s">
        <v>4471</v>
      </c>
      <c r="N243" s="3066">
        <v>37.5</v>
      </c>
      <c r="O243" s="3066" t="s">
        <v>3785</v>
      </c>
      <c r="P243" s="3066" t="s">
        <v>3566</v>
      </c>
      <c r="Q243" s="3066">
        <v>1</v>
      </c>
      <c r="R243" s="3066">
        <v>3800</v>
      </c>
      <c r="S243" s="3066" t="s">
        <v>3567</v>
      </c>
      <c r="T243" s="3066">
        <v>20</v>
      </c>
      <c r="U243" s="3066">
        <v>750</v>
      </c>
      <c r="V243" s="3066" t="s">
        <v>3560</v>
      </c>
      <c r="W243" s="3066" t="s">
        <v>3568</v>
      </c>
      <c r="X243" s="3066">
        <v>2.27</v>
      </c>
      <c r="Y243" s="3066">
        <v>1020</v>
      </c>
      <c r="Z243" s="3066" t="s">
        <v>3568</v>
      </c>
      <c r="AA243" s="3066" t="s">
        <v>3560</v>
      </c>
      <c r="AB243" s="3066" t="s">
        <v>3591</v>
      </c>
      <c r="AC243" s="3066" t="s">
        <v>3591</v>
      </c>
      <c r="AD243" s="3066" t="s">
        <v>3591</v>
      </c>
      <c r="AE243" s="3066" t="s">
        <v>3560</v>
      </c>
      <c r="AF243" s="3067">
        <v>750</v>
      </c>
      <c r="AG243" s="3066">
        <v>750</v>
      </c>
      <c r="AH243" s="3066">
        <v>85</v>
      </c>
      <c r="AI243" s="3066">
        <v>85</v>
      </c>
      <c r="AJ243" s="3066">
        <v>394.07</v>
      </c>
      <c r="AK243" s="3066">
        <v>394.07</v>
      </c>
      <c r="AL243" s="3066">
        <v>1229.07</v>
      </c>
      <c r="AM243" s="3066">
        <v>1229.07</v>
      </c>
      <c r="AN243" s="3066" t="s">
        <v>3560</v>
      </c>
      <c r="AP243" s="3068">
        <f t="shared" si="3"/>
        <v>20</v>
      </c>
    </row>
    <row r="244" spans="2:42" ht="27" customHeight="1">
      <c r="B244" s="3066">
        <v>252</v>
      </c>
      <c r="C244" s="3066" t="s">
        <v>3142</v>
      </c>
      <c r="D244" s="3066" t="s">
        <v>3901</v>
      </c>
      <c r="E244" s="3066" t="s">
        <v>4472</v>
      </c>
      <c r="F244" s="3066" t="s">
        <v>3917</v>
      </c>
      <c r="G244" s="3066" t="s">
        <v>3560</v>
      </c>
      <c r="H244" s="3066" t="s">
        <v>3560</v>
      </c>
      <c r="I244" s="3066" t="s">
        <v>4473</v>
      </c>
      <c r="J244" s="3066" t="s">
        <v>4473</v>
      </c>
      <c r="K244" s="3066" t="s">
        <v>3560</v>
      </c>
      <c r="L244" s="3066" t="s">
        <v>4474</v>
      </c>
      <c r="M244" s="3066" t="s">
        <v>4475</v>
      </c>
      <c r="N244" s="3066">
        <v>37.5</v>
      </c>
      <c r="O244" s="3066" t="s">
        <v>3919</v>
      </c>
      <c r="P244" s="3066" t="s">
        <v>3566</v>
      </c>
      <c r="Q244" s="3066">
        <v>1</v>
      </c>
      <c r="R244" s="3066">
        <v>4175</v>
      </c>
      <c r="S244" s="3066" t="s">
        <v>3567</v>
      </c>
      <c r="T244" s="3066">
        <v>20</v>
      </c>
      <c r="U244" s="3066">
        <v>750</v>
      </c>
      <c r="V244" s="3066" t="s">
        <v>3560</v>
      </c>
      <c r="W244" s="3066" t="s">
        <v>3568</v>
      </c>
      <c r="X244" s="3066">
        <v>2.27</v>
      </c>
      <c r="Y244" s="3066">
        <v>1020</v>
      </c>
      <c r="Z244" s="3066" t="s">
        <v>3568</v>
      </c>
      <c r="AA244" s="3066" t="s">
        <v>3560</v>
      </c>
      <c r="AB244" s="3066" t="s">
        <v>3920</v>
      </c>
      <c r="AC244" s="3066" t="s">
        <v>3920</v>
      </c>
      <c r="AD244" s="3066" t="s">
        <v>3920</v>
      </c>
      <c r="AE244" s="3066" t="s">
        <v>3560</v>
      </c>
      <c r="AF244" s="3067">
        <v>750</v>
      </c>
      <c r="AG244" s="3066">
        <v>0</v>
      </c>
      <c r="AH244" s="3066">
        <v>85</v>
      </c>
      <c r="AI244" s="3066">
        <v>0</v>
      </c>
      <c r="AJ244" s="3066">
        <v>21.34</v>
      </c>
      <c r="AK244" s="3066">
        <v>0</v>
      </c>
      <c r="AL244" s="3066">
        <v>856.34</v>
      </c>
      <c r="AM244" s="3066">
        <v>0</v>
      </c>
      <c r="AN244" s="3066" t="s">
        <v>3560</v>
      </c>
      <c r="AP244" s="3068">
        <f t="shared" si="3"/>
        <v>20</v>
      </c>
    </row>
    <row r="245" spans="2:42" ht="27" customHeight="1">
      <c r="B245" s="3066">
        <v>253</v>
      </c>
      <c r="C245" s="3066" t="s">
        <v>3142</v>
      </c>
      <c r="D245" s="3066" t="s">
        <v>3901</v>
      </c>
      <c r="E245" s="3066" t="s">
        <v>4476</v>
      </c>
      <c r="F245" s="3066" t="s">
        <v>3917</v>
      </c>
      <c r="G245" s="3066" t="s">
        <v>3560</v>
      </c>
      <c r="H245" s="3066" t="s">
        <v>3560</v>
      </c>
      <c r="I245" s="3066" t="s">
        <v>3560</v>
      </c>
      <c r="J245" s="3066" t="s">
        <v>3560</v>
      </c>
      <c r="K245" s="3066" t="s">
        <v>3560</v>
      </c>
      <c r="L245" s="3066" t="s">
        <v>3560</v>
      </c>
      <c r="M245" s="3066" t="s">
        <v>4477</v>
      </c>
      <c r="N245" s="3066">
        <v>37.5</v>
      </c>
      <c r="O245" s="3066" t="s">
        <v>3560</v>
      </c>
      <c r="P245" s="3066" t="s">
        <v>3560</v>
      </c>
      <c r="Q245" s="3066">
        <v>0</v>
      </c>
      <c r="R245" s="3066">
        <v>0</v>
      </c>
      <c r="S245" s="3066" t="s">
        <v>3577</v>
      </c>
      <c r="T245" s="3066">
        <v>0</v>
      </c>
      <c r="U245" s="3066">
        <v>0</v>
      </c>
      <c r="V245" s="3066" t="s">
        <v>3560</v>
      </c>
      <c r="W245" s="3066" t="s">
        <v>3568</v>
      </c>
      <c r="X245" s="3066">
        <v>0</v>
      </c>
      <c r="Y245" s="3066">
        <v>0</v>
      </c>
      <c r="Z245" s="3066" t="s">
        <v>3568</v>
      </c>
      <c r="AA245" s="3066" t="s">
        <v>3560</v>
      </c>
      <c r="AB245" s="3066" t="s">
        <v>3560</v>
      </c>
      <c r="AC245" s="3066" t="s">
        <v>3560</v>
      </c>
      <c r="AD245" s="3066" t="s">
        <v>3560</v>
      </c>
      <c r="AE245" s="3066" t="s">
        <v>3560</v>
      </c>
      <c r="AF245" s="3067">
        <v>0</v>
      </c>
      <c r="AG245" s="3066">
        <v>0</v>
      </c>
      <c r="AH245" s="3066">
        <v>0</v>
      </c>
      <c r="AI245" s="3066">
        <v>0</v>
      </c>
      <c r="AJ245" s="3066">
        <v>0</v>
      </c>
      <c r="AK245" s="3066">
        <v>0</v>
      </c>
      <c r="AL245" s="3066">
        <v>0</v>
      </c>
      <c r="AM245" s="3066">
        <v>0</v>
      </c>
      <c r="AN245" s="3066" t="s">
        <v>3560</v>
      </c>
      <c r="AP245" s="3068">
        <f t="shared" si="3"/>
        <v>0</v>
      </c>
    </row>
    <row r="246" spans="2:42" ht="27" customHeight="1">
      <c r="B246" s="3066">
        <v>254</v>
      </c>
      <c r="C246" s="3066" t="s">
        <v>3142</v>
      </c>
      <c r="D246" s="3066" t="s">
        <v>3901</v>
      </c>
      <c r="E246" s="3066" t="s">
        <v>4478</v>
      </c>
      <c r="F246" s="3066" t="s">
        <v>3917</v>
      </c>
      <c r="G246" s="3066" t="s">
        <v>3560</v>
      </c>
      <c r="H246" s="3066" t="s">
        <v>3560</v>
      </c>
      <c r="I246" s="3066" t="s">
        <v>4479</v>
      </c>
      <c r="J246" s="3066" t="s">
        <v>4479</v>
      </c>
      <c r="K246" s="3066" t="s">
        <v>3560</v>
      </c>
      <c r="L246" s="3066" t="s">
        <v>4480</v>
      </c>
      <c r="M246" s="3066" t="s">
        <v>4481</v>
      </c>
      <c r="N246" s="3066">
        <v>37.5</v>
      </c>
      <c r="O246" s="3066" t="s">
        <v>4482</v>
      </c>
      <c r="P246" s="3066" t="s">
        <v>3566</v>
      </c>
      <c r="Q246" s="3066">
        <v>0</v>
      </c>
      <c r="R246" s="3066">
        <v>4175</v>
      </c>
      <c r="S246" s="3066" t="s">
        <v>3567</v>
      </c>
      <c r="T246" s="3066">
        <v>20</v>
      </c>
      <c r="U246" s="3066">
        <v>750</v>
      </c>
      <c r="V246" s="3066" t="s">
        <v>3560</v>
      </c>
      <c r="W246" s="3066" t="s">
        <v>3568</v>
      </c>
      <c r="X246" s="3066">
        <v>2.27</v>
      </c>
      <c r="Y246" s="3066">
        <v>1020</v>
      </c>
      <c r="Z246" s="3066" t="s">
        <v>3568</v>
      </c>
      <c r="AA246" s="3066" t="s">
        <v>3560</v>
      </c>
      <c r="AB246" s="3066" t="s">
        <v>4483</v>
      </c>
      <c r="AC246" s="3066" t="s">
        <v>4483</v>
      </c>
      <c r="AD246" s="3066" t="s">
        <v>4483</v>
      </c>
      <c r="AE246" s="3066" t="s">
        <v>3560</v>
      </c>
      <c r="AF246" s="3067">
        <v>750</v>
      </c>
      <c r="AG246" s="3066">
        <v>750</v>
      </c>
      <c r="AH246" s="3066">
        <v>85</v>
      </c>
      <c r="AI246" s="3066">
        <v>85</v>
      </c>
      <c r="AJ246" s="3066">
        <v>40.28</v>
      </c>
      <c r="AK246" s="3066">
        <v>40.28</v>
      </c>
      <c r="AL246" s="3066">
        <v>875.28</v>
      </c>
      <c r="AM246" s="3066">
        <v>875.28</v>
      </c>
      <c r="AN246" s="3066" t="s">
        <v>3560</v>
      </c>
      <c r="AP246" s="3068">
        <f t="shared" si="3"/>
        <v>20</v>
      </c>
    </row>
    <row r="247" spans="2:42" ht="27" customHeight="1">
      <c r="B247" s="3066">
        <v>255</v>
      </c>
      <c r="C247" s="3066" t="s">
        <v>3142</v>
      </c>
      <c r="D247" s="3066" t="s">
        <v>3901</v>
      </c>
      <c r="E247" s="3066" t="s">
        <v>4484</v>
      </c>
      <c r="F247" s="3066" t="s">
        <v>3917</v>
      </c>
      <c r="G247" s="3066" t="s">
        <v>1373</v>
      </c>
      <c r="H247" s="3066" t="s">
        <v>3560</v>
      </c>
      <c r="I247" s="3066" t="s">
        <v>4485</v>
      </c>
      <c r="J247" s="3066" t="s">
        <v>3560</v>
      </c>
      <c r="K247" s="3066" t="s">
        <v>3560</v>
      </c>
      <c r="L247" s="3066" t="s">
        <v>4486</v>
      </c>
      <c r="M247" s="3066" t="s">
        <v>4487</v>
      </c>
      <c r="N247" s="3066">
        <v>37.5</v>
      </c>
      <c r="O247" s="3066" t="s">
        <v>4488</v>
      </c>
      <c r="P247" s="3066" t="s">
        <v>3745</v>
      </c>
      <c r="Q247" s="3066">
        <v>1</v>
      </c>
      <c r="R247" s="3066">
        <v>2556</v>
      </c>
      <c r="S247" s="3066" t="s">
        <v>3567</v>
      </c>
      <c r="T247" s="3066">
        <v>20</v>
      </c>
      <c r="U247" s="3066">
        <v>750</v>
      </c>
      <c r="V247" s="3066" t="s">
        <v>3560</v>
      </c>
      <c r="W247" s="3066" t="s">
        <v>3568</v>
      </c>
      <c r="X247" s="3066">
        <v>2.27</v>
      </c>
      <c r="Y247" s="3066">
        <v>1020</v>
      </c>
      <c r="Z247" s="3066" t="s">
        <v>3568</v>
      </c>
      <c r="AA247" s="3066" t="s">
        <v>3560</v>
      </c>
      <c r="AB247" s="3066" t="s">
        <v>4489</v>
      </c>
      <c r="AC247" s="3066" t="s">
        <v>4489</v>
      </c>
      <c r="AD247" s="3066" t="s">
        <v>4489</v>
      </c>
      <c r="AE247" s="3066" t="s">
        <v>3560</v>
      </c>
      <c r="AF247" s="3067">
        <v>750</v>
      </c>
      <c r="AG247" s="3066">
        <v>0</v>
      </c>
      <c r="AH247" s="3066">
        <v>85</v>
      </c>
      <c r="AI247" s="3066">
        <v>0</v>
      </c>
      <c r="AJ247" s="3066">
        <v>72.16</v>
      </c>
      <c r="AK247" s="3066">
        <v>0</v>
      </c>
      <c r="AL247" s="3066">
        <v>907.16</v>
      </c>
      <c r="AM247" s="3066">
        <v>0</v>
      </c>
      <c r="AN247" s="3066" t="s">
        <v>3560</v>
      </c>
      <c r="AP247" s="3068">
        <f t="shared" si="3"/>
        <v>20</v>
      </c>
    </row>
    <row r="248" spans="2:42" ht="27" customHeight="1">
      <c r="B248" s="3066">
        <v>256</v>
      </c>
      <c r="C248" s="3066" t="s">
        <v>3142</v>
      </c>
      <c r="D248" s="3066" t="s">
        <v>3901</v>
      </c>
      <c r="E248" s="3066" t="s">
        <v>4490</v>
      </c>
      <c r="F248" s="3066" t="s">
        <v>3917</v>
      </c>
      <c r="G248" s="3066" t="s">
        <v>1373</v>
      </c>
      <c r="H248" s="3066" t="s">
        <v>3560</v>
      </c>
      <c r="I248" s="3066" t="s">
        <v>4491</v>
      </c>
      <c r="J248" s="3066" t="s">
        <v>3560</v>
      </c>
      <c r="K248" s="3066" t="s">
        <v>3560</v>
      </c>
      <c r="L248" s="3066" t="s">
        <v>4492</v>
      </c>
      <c r="M248" s="3066" t="s">
        <v>4493</v>
      </c>
      <c r="N248" s="3066">
        <v>37.5</v>
      </c>
      <c r="O248" s="3066" t="s">
        <v>3619</v>
      </c>
      <c r="P248" s="3066" t="s">
        <v>3566</v>
      </c>
      <c r="Q248" s="3066">
        <v>1</v>
      </c>
      <c r="R248" s="3066">
        <v>4175</v>
      </c>
      <c r="S248" s="3066" t="s">
        <v>3567</v>
      </c>
      <c r="T248" s="3066">
        <v>21</v>
      </c>
      <c r="U248" s="3066">
        <v>787.5</v>
      </c>
      <c r="V248" s="3066" t="s">
        <v>3560</v>
      </c>
      <c r="W248" s="3066" t="s">
        <v>3568</v>
      </c>
      <c r="X248" s="3066">
        <v>2.27</v>
      </c>
      <c r="Y248" s="3066">
        <v>1020</v>
      </c>
      <c r="Z248" s="3066" t="s">
        <v>3568</v>
      </c>
      <c r="AA248" s="3066" t="s">
        <v>3560</v>
      </c>
      <c r="AB248" s="3066" t="s">
        <v>3584</v>
      </c>
      <c r="AC248" s="3066" t="s">
        <v>3584</v>
      </c>
      <c r="AD248" s="3066" t="s">
        <v>3584</v>
      </c>
      <c r="AE248" s="3066" t="s">
        <v>3560</v>
      </c>
      <c r="AF248" s="3067">
        <v>787.5</v>
      </c>
      <c r="AG248" s="3066">
        <v>787.5</v>
      </c>
      <c r="AH248" s="3066">
        <v>85</v>
      </c>
      <c r="AI248" s="3066">
        <v>85</v>
      </c>
      <c r="AJ248" s="3066">
        <v>3.57</v>
      </c>
      <c r="AK248" s="3066">
        <v>3.57</v>
      </c>
      <c r="AL248" s="3066">
        <v>876.07</v>
      </c>
      <c r="AM248" s="3066">
        <v>876.07</v>
      </c>
      <c r="AN248" s="3066" t="s">
        <v>3560</v>
      </c>
      <c r="AP248" s="3068">
        <f t="shared" si="3"/>
        <v>21</v>
      </c>
    </row>
    <row r="249" spans="2:42" ht="27" customHeight="1">
      <c r="B249" s="3066">
        <v>257</v>
      </c>
      <c r="C249" s="3066" t="s">
        <v>3142</v>
      </c>
      <c r="D249" s="3066" t="s">
        <v>3901</v>
      </c>
      <c r="E249" s="3066" t="s">
        <v>4494</v>
      </c>
      <c r="F249" s="3066" t="s">
        <v>3917</v>
      </c>
      <c r="G249" s="3066" t="s">
        <v>3560</v>
      </c>
      <c r="H249" s="3066" t="s">
        <v>3560</v>
      </c>
      <c r="I249" s="3066" t="s">
        <v>4495</v>
      </c>
      <c r="J249" s="3066" t="s">
        <v>4495</v>
      </c>
      <c r="K249" s="3066" t="s">
        <v>3560</v>
      </c>
      <c r="L249" s="3066" t="s">
        <v>4496</v>
      </c>
      <c r="M249" s="3066" t="s">
        <v>4497</v>
      </c>
      <c r="N249" s="3066">
        <v>37.5</v>
      </c>
      <c r="O249" s="3066" t="s">
        <v>3939</v>
      </c>
      <c r="P249" s="3066" t="s">
        <v>3940</v>
      </c>
      <c r="Q249" s="3066">
        <v>1</v>
      </c>
      <c r="R249" s="3066">
        <v>4175</v>
      </c>
      <c r="S249" s="3066" t="s">
        <v>3567</v>
      </c>
      <c r="T249" s="3066">
        <v>20</v>
      </c>
      <c r="U249" s="3066">
        <v>750</v>
      </c>
      <c r="V249" s="3066" t="s">
        <v>3560</v>
      </c>
      <c r="W249" s="3066" t="s">
        <v>3568</v>
      </c>
      <c r="X249" s="3066">
        <v>2.27</v>
      </c>
      <c r="Y249" s="3066">
        <v>1020</v>
      </c>
      <c r="Z249" s="3066" t="s">
        <v>3568</v>
      </c>
      <c r="AA249" s="3066" t="s">
        <v>3560</v>
      </c>
      <c r="AB249" s="3066" t="s">
        <v>3941</v>
      </c>
      <c r="AC249" s="3066" t="s">
        <v>3941</v>
      </c>
      <c r="AD249" s="3066" t="s">
        <v>3941</v>
      </c>
      <c r="AE249" s="3066" t="s">
        <v>3560</v>
      </c>
      <c r="AF249" s="3067">
        <v>750</v>
      </c>
      <c r="AG249" s="3066">
        <v>750</v>
      </c>
      <c r="AH249" s="3066">
        <v>85</v>
      </c>
      <c r="AI249" s="3066">
        <v>85</v>
      </c>
      <c r="AJ249" s="3066">
        <v>144.63999999999999</v>
      </c>
      <c r="AK249" s="3066">
        <v>144.63999999999999</v>
      </c>
      <c r="AL249" s="3066">
        <v>979.64</v>
      </c>
      <c r="AM249" s="3066">
        <v>979.64</v>
      </c>
      <c r="AN249" s="3066" t="s">
        <v>3560</v>
      </c>
      <c r="AP249" s="3068">
        <f t="shared" si="3"/>
        <v>20</v>
      </c>
    </row>
    <row r="250" spans="2:42" ht="27" customHeight="1">
      <c r="B250" s="3066">
        <v>258</v>
      </c>
      <c r="C250" s="3066" t="s">
        <v>3142</v>
      </c>
      <c r="D250" s="3066" t="s">
        <v>3901</v>
      </c>
      <c r="E250" s="3066" t="s">
        <v>4494</v>
      </c>
      <c r="F250" s="3066" t="s">
        <v>3917</v>
      </c>
      <c r="G250" s="3066" t="s">
        <v>3560</v>
      </c>
      <c r="H250" s="3066" t="s">
        <v>3560</v>
      </c>
      <c r="I250" s="3066" t="s">
        <v>4495</v>
      </c>
      <c r="J250" s="3066" t="s">
        <v>4495</v>
      </c>
      <c r="K250" s="3066" t="s">
        <v>3560</v>
      </c>
      <c r="L250" s="3066" t="s">
        <v>4496</v>
      </c>
      <c r="M250" s="3066" t="s">
        <v>4497</v>
      </c>
      <c r="N250" s="3066">
        <v>37.5</v>
      </c>
      <c r="O250" s="3066" t="s">
        <v>4220</v>
      </c>
      <c r="P250" s="3066" t="s">
        <v>3566</v>
      </c>
      <c r="Q250" s="3066">
        <v>0</v>
      </c>
      <c r="R250" s="3066">
        <v>4175</v>
      </c>
      <c r="S250" s="3066" t="s">
        <v>3567</v>
      </c>
      <c r="T250" s="3066">
        <v>21</v>
      </c>
      <c r="U250" s="3066">
        <v>787.5</v>
      </c>
      <c r="V250" s="3066" t="s">
        <v>3560</v>
      </c>
      <c r="W250" s="3066" t="s">
        <v>3568</v>
      </c>
      <c r="X250" s="3066">
        <v>2.27</v>
      </c>
      <c r="Y250" s="3066">
        <v>1020</v>
      </c>
      <c r="Z250" s="3066" t="s">
        <v>3568</v>
      </c>
      <c r="AA250" s="3066" t="s">
        <v>3560</v>
      </c>
      <c r="AB250" s="3066" t="s">
        <v>3943</v>
      </c>
      <c r="AC250" s="3066" t="s">
        <v>3943</v>
      </c>
      <c r="AD250" s="3066" t="s">
        <v>3943</v>
      </c>
      <c r="AE250" s="3066" t="s">
        <v>3560</v>
      </c>
      <c r="AF250" s="3067">
        <v>750</v>
      </c>
      <c r="AG250" s="3066">
        <v>750</v>
      </c>
      <c r="AH250" s="3066">
        <v>85</v>
      </c>
      <c r="AI250" s="3066">
        <v>85</v>
      </c>
      <c r="AJ250" s="3066">
        <v>144.63999999999999</v>
      </c>
      <c r="AK250" s="3066">
        <v>144.63999999999999</v>
      </c>
      <c r="AL250" s="3066">
        <v>979.64</v>
      </c>
      <c r="AM250" s="3066">
        <v>979.64</v>
      </c>
      <c r="AN250" s="3066" t="s">
        <v>3560</v>
      </c>
      <c r="AP250" s="3068">
        <f t="shared" si="3"/>
        <v>20</v>
      </c>
    </row>
    <row r="251" spans="2:42" ht="27" customHeight="1">
      <c r="B251" s="3066">
        <v>259</v>
      </c>
      <c r="C251" s="3066" t="s">
        <v>3142</v>
      </c>
      <c r="D251" s="3066" t="s">
        <v>3901</v>
      </c>
      <c r="E251" s="3066" t="s">
        <v>4498</v>
      </c>
      <c r="F251" s="3066" t="s">
        <v>3917</v>
      </c>
      <c r="G251" s="3066" t="s">
        <v>1373</v>
      </c>
      <c r="H251" s="3066" t="s">
        <v>3560</v>
      </c>
      <c r="I251" s="3066" t="s">
        <v>4499</v>
      </c>
      <c r="J251" s="3066" t="s">
        <v>3560</v>
      </c>
      <c r="K251" s="3066" t="s">
        <v>3560</v>
      </c>
      <c r="L251" s="3066" t="s">
        <v>4500</v>
      </c>
      <c r="M251" s="3066" t="s">
        <v>4501</v>
      </c>
      <c r="N251" s="3066">
        <v>41.5</v>
      </c>
      <c r="O251" s="3066" t="s">
        <v>3939</v>
      </c>
      <c r="P251" s="3066" t="s">
        <v>3940</v>
      </c>
      <c r="Q251" s="3066">
        <v>1</v>
      </c>
      <c r="R251" s="3066">
        <v>2490</v>
      </c>
      <c r="S251" s="3066" t="s">
        <v>3567</v>
      </c>
      <c r="T251" s="3066">
        <v>20</v>
      </c>
      <c r="U251" s="3066">
        <v>830</v>
      </c>
      <c r="V251" s="3066" t="s">
        <v>3560</v>
      </c>
      <c r="W251" s="3066" t="s">
        <v>3568</v>
      </c>
      <c r="X251" s="3066">
        <v>2.2400000000000002</v>
      </c>
      <c r="Y251" s="3066">
        <v>1116</v>
      </c>
      <c r="Z251" s="3066" t="s">
        <v>3568</v>
      </c>
      <c r="AA251" s="3066" t="s">
        <v>3560</v>
      </c>
      <c r="AB251" s="3066" t="s">
        <v>3941</v>
      </c>
      <c r="AC251" s="3066" t="s">
        <v>3941</v>
      </c>
      <c r="AD251" s="3066" t="s">
        <v>3941</v>
      </c>
      <c r="AE251" s="3066" t="s">
        <v>3560</v>
      </c>
      <c r="AF251" s="3067">
        <v>830</v>
      </c>
      <c r="AG251" s="3066">
        <v>830</v>
      </c>
      <c r="AH251" s="3066">
        <v>93</v>
      </c>
      <c r="AI251" s="3066">
        <v>93</v>
      </c>
      <c r="AJ251" s="3066">
        <v>80.569999999999993</v>
      </c>
      <c r="AK251" s="3066">
        <v>80.569999999999993</v>
      </c>
      <c r="AL251" s="3066">
        <v>1003.57</v>
      </c>
      <c r="AM251" s="3066">
        <v>1003.57</v>
      </c>
      <c r="AN251" s="3066" t="s">
        <v>3560</v>
      </c>
      <c r="AP251" s="3068">
        <f t="shared" si="3"/>
        <v>20</v>
      </c>
    </row>
    <row r="252" spans="2:42" ht="27" customHeight="1">
      <c r="B252" s="3066">
        <v>260</v>
      </c>
      <c r="C252" s="3066" t="s">
        <v>3142</v>
      </c>
      <c r="D252" s="3066" t="s">
        <v>3901</v>
      </c>
      <c r="E252" s="3066" t="s">
        <v>4498</v>
      </c>
      <c r="F252" s="3066" t="s">
        <v>3917</v>
      </c>
      <c r="G252" s="3066" t="s">
        <v>1373</v>
      </c>
      <c r="H252" s="3066" t="s">
        <v>3560</v>
      </c>
      <c r="I252" s="3066" t="s">
        <v>4499</v>
      </c>
      <c r="J252" s="3066" t="s">
        <v>3560</v>
      </c>
      <c r="K252" s="3066" t="s">
        <v>3560</v>
      </c>
      <c r="L252" s="3066" t="s">
        <v>4500</v>
      </c>
      <c r="M252" s="3066" t="s">
        <v>4501</v>
      </c>
      <c r="N252" s="3066">
        <v>41.5</v>
      </c>
      <c r="O252" s="3066" t="s">
        <v>4220</v>
      </c>
      <c r="P252" s="3066" t="s">
        <v>3566</v>
      </c>
      <c r="Q252" s="3066">
        <v>0</v>
      </c>
      <c r="R252" s="3066">
        <v>2490</v>
      </c>
      <c r="S252" s="3066" t="s">
        <v>3567</v>
      </c>
      <c r="T252" s="3066">
        <v>21</v>
      </c>
      <c r="U252" s="3066">
        <v>871.5</v>
      </c>
      <c r="V252" s="3066" t="s">
        <v>3560</v>
      </c>
      <c r="W252" s="3066" t="s">
        <v>3568</v>
      </c>
      <c r="X252" s="3066">
        <v>2.2400000000000002</v>
      </c>
      <c r="Y252" s="3066">
        <v>1116</v>
      </c>
      <c r="Z252" s="3066" t="s">
        <v>3568</v>
      </c>
      <c r="AA252" s="3066" t="s">
        <v>3560</v>
      </c>
      <c r="AB252" s="3066" t="s">
        <v>3943</v>
      </c>
      <c r="AC252" s="3066" t="s">
        <v>3943</v>
      </c>
      <c r="AD252" s="3066" t="s">
        <v>3943</v>
      </c>
      <c r="AE252" s="3066" t="s">
        <v>3560</v>
      </c>
      <c r="AF252" s="3067">
        <v>830</v>
      </c>
      <c r="AG252" s="3066">
        <v>830</v>
      </c>
      <c r="AH252" s="3066">
        <v>93</v>
      </c>
      <c r="AI252" s="3066">
        <v>93</v>
      </c>
      <c r="AJ252" s="3066">
        <v>80.569999999999993</v>
      </c>
      <c r="AK252" s="3066">
        <v>80.569999999999993</v>
      </c>
      <c r="AL252" s="3066">
        <v>1003.57</v>
      </c>
      <c r="AM252" s="3066">
        <v>1003.57</v>
      </c>
      <c r="AN252" s="3066" t="s">
        <v>3560</v>
      </c>
      <c r="AP252" s="3068">
        <f t="shared" si="3"/>
        <v>20</v>
      </c>
    </row>
    <row r="253" spans="2:42" ht="27" customHeight="1">
      <c r="B253" s="3066">
        <v>261</v>
      </c>
      <c r="C253" s="3066" t="s">
        <v>3147</v>
      </c>
      <c r="D253" s="3066" t="s">
        <v>4003</v>
      </c>
      <c r="E253" s="3066" t="s">
        <v>4502</v>
      </c>
      <c r="F253" s="3066" t="s">
        <v>3917</v>
      </c>
      <c r="G253" s="3066" t="s">
        <v>3560</v>
      </c>
      <c r="H253" s="3066" t="s">
        <v>3560</v>
      </c>
      <c r="I253" s="3066" t="s">
        <v>3560</v>
      </c>
      <c r="J253" s="3066" t="s">
        <v>3560</v>
      </c>
      <c r="K253" s="3066" t="s">
        <v>3560</v>
      </c>
      <c r="L253" s="3066" t="s">
        <v>3560</v>
      </c>
      <c r="M253" s="3066" t="s">
        <v>4503</v>
      </c>
      <c r="N253" s="3066">
        <v>12</v>
      </c>
      <c r="O253" s="3066" t="s">
        <v>3560</v>
      </c>
      <c r="P253" s="3066" t="s">
        <v>3560</v>
      </c>
      <c r="Q253" s="3066">
        <v>0</v>
      </c>
      <c r="R253" s="3066">
        <v>0</v>
      </c>
      <c r="S253" s="3066" t="s">
        <v>3577</v>
      </c>
      <c r="T253" s="3066">
        <v>0</v>
      </c>
      <c r="U253" s="3066">
        <v>0</v>
      </c>
      <c r="V253" s="3066" t="s">
        <v>3560</v>
      </c>
      <c r="W253" s="3066" t="s">
        <v>3568</v>
      </c>
      <c r="X253" s="3066">
        <v>0</v>
      </c>
      <c r="Y253" s="3066">
        <v>0</v>
      </c>
      <c r="Z253" s="3066" t="s">
        <v>3568</v>
      </c>
      <c r="AA253" s="3066" t="s">
        <v>3560</v>
      </c>
      <c r="AB253" s="3066" t="s">
        <v>3560</v>
      </c>
      <c r="AC253" s="3066" t="s">
        <v>3560</v>
      </c>
      <c r="AD253" s="3066" t="s">
        <v>3560</v>
      </c>
      <c r="AE253" s="3066" t="s">
        <v>3560</v>
      </c>
      <c r="AF253" s="3067">
        <v>0</v>
      </c>
      <c r="AG253" s="3066">
        <v>0</v>
      </c>
      <c r="AH253" s="3066">
        <v>0</v>
      </c>
      <c r="AI253" s="3066">
        <v>0</v>
      </c>
      <c r="AJ253" s="3066">
        <v>0</v>
      </c>
      <c r="AK253" s="3066">
        <v>0</v>
      </c>
      <c r="AL253" s="3066">
        <v>0</v>
      </c>
      <c r="AM253" s="3066">
        <v>0</v>
      </c>
      <c r="AN253" s="3066" t="s">
        <v>3560</v>
      </c>
      <c r="AP253" s="3068">
        <f t="shared" si="3"/>
        <v>0</v>
      </c>
    </row>
    <row r="254" spans="2:42" ht="27" customHeight="1">
      <c r="B254" s="3066">
        <v>262</v>
      </c>
      <c r="C254" s="3066" t="s">
        <v>3147</v>
      </c>
      <c r="D254" s="3066" t="s">
        <v>4003</v>
      </c>
      <c r="E254" s="3066" t="s">
        <v>4504</v>
      </c>
      <c r="F254" s="3066" t="s">
        <v>3917</v>
      </c>
      <c r="G254" s="3066" t="s">
        <v>3560</v>
      </c>
      <c r="H254" s="3066" t="s">
        <v>3560</v>
      </c>
      <c r="I254" s="3066" t="s">
        <v>3560</v>
      </c>
      <c r="J254" s="3066" t="s">
        <v>3560</v>
      </c>
      <c r="K254" s="3066" t="s">
        <v>3560</v>
      </c>
      <c r="L254" s="3066" t="s">
        <v>3560</v>
      </c>
      <c r="M254" s="3066" t="s">
        <v>4505</v>
      </c>
      <c r="N254" s="3066">
        <v>0</v>
      </c>
      <c r="O254" s="3066" t="s">
        <v>3560</v>
      </c>
      <c r="P254" s="3066" t="s">
        <v>3560</v>
      </c>
      <c r="Q254" s="3066">
        <v>0</v>
      </c>
      <c r="R254" s="3066">
        <v>0</v>
      </c>
      <c r="S254" s="3066" t="s">
        <v>3577</v>
      </c>
      <c r="T254" s="3066">
        <v>0</v>
      </c>
      <c r="U254" s="3066">
        <v>0</v>
      </c>
      <c r="V254" s="3066" t="s">
        <v>3560</v>
      </c>
      <c r="W254" s="3066" t="s">
        <v>3568</v>
      </c>
      <c r="X254" s="3066">
        <v>0</v>
      </c>
      <c r="Y254" s="3066">
        <v>0</v>
      </c>
      <c r="Z254" s="3066" t="s">
        <v>3568</v>
      </c>
      <c r="AA254" s="3066" t="s">
        <v>3560</v>
      </c>
      <c r="AB254" s="3066" t="s">
        <v>3560</v>
      </c>
      <c r="AC254" s="3066" t="s">
        <v>3560</v>
      </c>
      <c r="AD254" s="3066" t="s">
        <v>3560</v>
      </c>
      <c r="AE254" s="3066" t="s">
        <v>3560</v>
      </c>
      <c r="AF254" s="3067">
        <v>0</v>
      </c>
      <c r="AG254" s="3066">
        <v>0</v>
      </c>
      <c r="AH254" s="3066">
        <v>0</v>
      </c>
      <c r="AI254" s="3066">
        <v>0</v>
      </c>
      <c r="AJ254" s="3066">
        <v>0</v>
      </c>
      <c r="AK254" s="3066">
        <v>0</v>
      </c>
      <c r="AL254" s="3066">
        <v>0</v>
      </c>
      <c r="AM254" s="3066">
        <v>0</v>
      </c>
      <c r="AN254" s="3066" t="s">
        <v>3560</v>
      </c>
      <c r="AP254" s="3068" t="e">
        <f t="shared" si="3"/>
        <v>#DIV/0!</v>
      </c>
    </row>
    <row r="255" spans="2:42" ht="27" customHeight="1">
      <c r="B255" s="3066">
        <v>263</v>
      </c>
      <c r="C255" s="3066" t="s">
        <v>3147</v>
      </c>
      <c r="D255" s="3066" t="s">
        <v>4003</v>
      </c>
      <c r="E255" s="3066" t="s">
        <v>4506</v>
      </c>
      <c r="F255" s="3066" t="s">
        <v>3917</v>
      </c>
      <c r="G255" s="3066" t="s">
        <v>3560</v>
      </c>
      <c r="H255" s="3066" t="s">
        <v>3560</v>
      </c>
      <c r="I255" s="3066" t="s">
        <v>3560</v>
      </c>
      <c r="J255" s="3066" t="s">
        <v>3560</v>
      </c>
      <c r="K255" s="3066" t="s">
        <v>3560</v>
      </c>
      <c r="L255" s="3066" t="s">
        <v>3560</v>
      </c>
      <c r="M255" s="3066" t="s">
        <v>4507</v>
      </c>
      <c r="N255" s="3066">
        <v>0</v>
      </c>
      <c r="O255" s="3066" t="s">
        <v>3560</v>
      </c>
      <c r="P255" s="3066" t="s">
        <v>3560</v>
      </c>
      <c r="Q255" s="3066">
        <v>0</v>
      </c>
      <c r="R255" s="3066">
        <v>0</v>
      </c>
      <c r="S255" s="3066" t="s">
        <v>3577</v>
      </c>
      <c r="T255" s="3066">
        <v>0</v>
      </c>
      <c r="U255" s="3066">
        <v>0</v>
      </c>
      <c r="V255" s="3066" t="s">
        <v>3560</v>
      </c>
      <c r="W255" s="3066" t="s">
        <v>3568</v>
      </c>
      <c r="X255" s="3066">
        <v>0</v>
      </c>
      <c r="Y255" s="3066">
        <v>0</v>
      </c>
      <c r="Z255" s="3066" t="s">
        <v>3568</v>
      </c>
      <c r="AA255" s="3066" t="s">
        <v>3560</v>
      </c>
      <c r="AB255" s="3066" t="s">
        <v>3560</v>
      </c>
      <c r="AC255" s="3066" t="s">
        <v>3560</v>
      </c>
      <c r="AD255" s="3066" t="s">
        <v>3560</v>
      </c>
      <c r="AE255" s="3066" t="s">
        <v>3560</v>
      </c>
      <c r="AF255" s="3067">
        <v>0</v>
      </c>
      <c r="AG255" s="3066">
        <v>0</v>
      </c>
      <c r="AH255" s="3066">
        <v>0</v>
      </c>
      <c r="AI255" s="3066">
        <v>0</v>
      </c>
      <c r="AJ255" s="3066">
        <v>0</v>
      </c>
      <c r="AK255" s="3066">
        <v>0</v>
      </c>
      <c r="AL255" s="3066">
        <v>0</v>
      </c>
      <c r="AM255" s="3066">
        <v>0</v>
      </c>
      <c r="AN255" s="3066" t="s">
        <v>3560</v>
      </c>
      <c r="AP255" s="3068" t="e">
        <f t="shared" si="3"/>
        <v>#DIV/0!</v>
      </c>
    </row>
    <row r="256" spans="2:42" ht="27" customHeight="1">
      <c r="B256" s="3066">
        <v>264</v>
      </c>
      <c r="C256" s="3066" t="s">
        <v>3147</v>
      </c>
      <c r="D256" s="3066" t="s">
        <v>4003</v>
      </c>
      <c r="E256" s="3066" t="s">
        <v>4508</v>
      </c>
      <c r="F256" s="3066" t="s">
        <v>3917</v>
      </c>
      <c r="G256" s="3066" t="s">
        <v>3560</v>
      </c>
      <c r="H256" s="3066" t="s">
        <v>3560</v>
      </c>
      <c r="I256" s="3066" t="s">
        <v>3560</v>
      </c>
      <c r="J256" s="3066" t="s">
        <v>3560</v>
      </c>
      <c r="K256" s="3066" t="s">
        <v>3560</v>
      </c>
      <c r="L256" s="3066" t="s">
        <v>3560</v>
      </c>
      <c r="M256" s="3066" t="s">
        <v>4509</v>
      </c>
      <c r="N256" s="3066">
        <v>0</v>
      </c>
      <c r="O256" s="3066" t="s">
        <v>3560</v>
      </c>
      <c r="P256" s="3066" t="s">
        <v>3560</v>
      </c>
      <c r="Q256" s="3066">
        <v>0</v>
      </c>
      <c r="R256" s="3066">
        <v>0</v>
      </c>
      <c r="S256" s="3066" t="s">
        <v>3577</v>
      </c>
      <c r="T256" s="3066">
        <v>0</v>
      </c>
      <c r="U256" s="3066">
        <v>0</v>
      </c>
      <c r="V256" s="3066" t="s">
        <v>3560</v>
      </c>
      <c r="W256" s="3066" t="s">
        <v>3568</v>
      </c>
      <c r="X256" s="3066">
        <v>0</v>
      </c>
      <c r="Y256" s="3066">
        <v>0</v>
      </c>
      <c r="Z256" s="3066" t="s">
        <v>3568</v>
      </c>
      <c r="AA256" s="3066" t="s">
        <v>3560</v>
      </c>
      <c r="AB256" s="3066" t="s">
        <v>3560</v>
      </c>
      <c r="AC256" s="3066" t="s">
        <v>3560</v>
      </c>
      <c r="AD256" s="3066" t="s">
        <v>3560</v>
      </c>
      <c r="AE256" s="3066" t="s">
        <v>3560</v>
      </c>
      <c r="AF256" s="3067">
        <v>0</v>
      </c>
      <c r="AG256" s="3066">
        <v>0</v>
      </c>
      <c r="AH256" s="3066">
        <v>0</v>
      </c>
      <c r="AI256" s="3066">
        <v>0</v>
      </c>
      <c r="AJ256" s="3066">
        <v>0</v>
      </c>
      <c r="AK256" s="3066">
        <v>0</v>
      </c>
      <c r="AL256" s="3066">
        <v>0</v>
      </c>
      <c r="AM256" s="3066">
        <v>0</v>
      </c>
      <c r="AN256" s="3066" t="s">
        <v>3560</v>
      </c>
      <c r="AP256" s="3068" t="e">
        <f t="shared" si="3"/>
        <v>#DIV/0!</v>
      </c>
    </row>
    <row r="257" spans="2:42" ht="27" customHeight="1">
      <c r="B257" s="3066">
        <v>265</v>
      </c>
      <c r="C257" s="3066" t="s">
        <v>3147</v>
      </c>
      <c r="D257" s="3066" t="s">
        <v>4003</v>
      </c>
      <c r="E257" s="3066" t="s">
        <v>4510</v>
      </c>
      <c r="F257" s="3066" t="s">
        <v>3917</v>
      </c>
      <c r="G257" s="3066" t="s">
        <v>3560</v>
      </c>
      <c r="H257" s="3066" t="s">
        <v>3560</v>
      </c>
      <c r="I257" s="3066" t="s">
        <v>3560</v>
      </c>
      <c r="J257" s="3066" t="s">
        <v>3560</v>
      </c>
      <c r="K257" s="3066" t="s">
        <v>3560</v>
      </c>
      <c r="L257" s="3066" t="s">
        <v>3560</v>
      </c>
      <c r="M257" s="3066" t="s">
        <v>4511</v>
      </c>
      <c r="N257" s="3066">
        <v>0</v>
      </c>
      <c r="O257" s="3066" t="s">
        <v>3560</v>
      </c>
      <c r="P257" s="3066" t="s">
        <v>3560</v>
      </c>
      <c r="Q257" s="3066">
        <v>0</v>
      </c>
      <c r="R257" s="3066">
        <v>0</v>
      </c>
      <c r="S257" s="3066" t="s">
        <v>3577</v>
      </c>
      <c r="T257" s="3066">
        <v>0</v>
      </c>
      <c r="U257" s="3066">
        <v>0</v>
      </c>
      <c r="V257" s="3066" t="s">
        <v>3560</v>
      </c>
      <c r="W257" s="3066" t="s">
        <v>3568</v>
      </c>
      <c r="X257" s="3066">
        <v>0</v>
      </c>
      <c r="Y257" s="3066">
        <v>0</v>
      </c>
      <c r="Z257" s="3066" t="s">
        <v>3568</v>
      </c>
      <c r="AA257" s="3066" t="s">
        <v>3560</v>
      </c>
      <c r="AB257" s="3066" t="s">
        <v>3560</v>
      </c>
      <c r="AC257" s="3066" t="s">
        <v>3560</v>
      </c>
      <c r="AD257" s="3066" t="s">
        <v>3560</v>
      </c>
      <c r="AE257" s="3066" t="s">
        <v>3560</v>
      </c>
      <c r="AF257" s="3067">
        <v>0</v>
      </c>
      <c r="AG257" s="3066">
        <v>0</v>
      </c>
      <c r="AH257" s="3066">
        <v>0</v>
      </c>
      <c r="AI257" s="3066">
        <v>0</v>
      </c>
      <c r="AJ257" s="3066">
        <v>0</v>
      </c>
      <c r="AK257" s="3066">
        <v>0</v>
      </c>
      <c r="AL257" s="3066">
        <v>0</v>
      </c>
      <c r="AM257" s="3066">
        <v>0</v>
      </c>
      <c r="AN257" s="3066" t="s">
        <v>3560</v>
      </c>
      <c r="AP257" s="3068" t="e">
        <f t="shared" si="3"/>
        <v>#DIV/0!</v>
      </c>
    </row>
    <row r="258" spans="2:42" ht="27" customHeight="1">
      <c r="B258" s="3066">
        <v>266</v>
      </c>
      <c r="C258" s="3066" t="s">
        <v>3147</v>
      </c>
      <c r="D258" s="3066" t="s">
        <v>4019</v>
      </c>
      <c r="E258" s="3066" t="s">
        <v>4512</v>
      </c>
      <c r="F258" s="3066" t="s">
        <v>3917</v>
      </c>
      <c r="G258" s="3066" t="s">
        <v>1373</v>
      </c>
      <c r="H258" s="3066" t="s">
        <v>3560</v>
      </c>
      <c r="I258" s="3066" t="s">
        <v>4513</v>
      </c>
      <c r="J258" s="3066" t="s">
        <v>3560</v>
      </c>
      <c r="K258" s="3066" t="s">
        <v>3560</v>
      </c>
      <c r="L258" s="3066" t="s">
        <v>4514</v>
      </c>
      <c r="M258" s="3066" t="s">
        <v>4515</v>
      </c>
      <c r="N258" s="3066">
        <v>37.6</v>
      </c>
      <c r="O258" s="3066" t="s">
        <v>4516</v>
      </c>
      <c r="P258" s="3066" t="s">
        <v>3566</v>
      </c>
      <c r="Q258" s="3066">
        <v>0</v>
      </c>
      <c r="R258" s="3066">
        <v>5892</v>
      </c>
      <c r="S258" s="3066" t="s">
        <v>3567</v>
      </c>
      <c r="T258" s="3066">
        <v>19</v>
      </c>
      <c r="U258" s="3066">
        <v>714.4</v>
      </c>
      <c r="V258" s="3066" t="s">
        <v>3560</v>
      </c>
      <c r="W258" s="3066" t="s">
        <v>3568</v>
      </c>
      <c r="X258" s="3066">
        <v>2.27</v>
      </c>
      <c r="Y258" s="3066">
        <v>1022.4</v>
      </c>
      <c r="Z258" s="3066" t="s">
        <v>3568</v>
      </c>
      <c r="AA258" s="3066" t="s">
        <v>3560</v>
      </c>
      <c r="AB258" s="3066" t="s">
        <v>3584</v>
      </c>
      <c r="AC258" s="3066" t="s">
        <v>3584</v>
      </c>
      <c r="AD258" s="3066" t="s">
        <v>3584</v>
      </c>
      <c r="AE258" s="3066" t="s">
        <v>3560</v>
      </c>
      <c r="AF258" s="3067">
        <v>714.4</v>
      </c>
      <c r="AG258" s="3066">
        <v>714.4</v>
      </c>
      <c r="AH258" s="3066">
        <v>85.2</v>
      </c>
      <c r="AI258" s="3066">
        <v>85.2</v>
      </c>
      <c r="AJ258" s="3066">
        <v>0</v>
      </c>
      <c r="AK258" s="3066">
        <v>0</v>
      </c>
      <c r="AL258" s="3066">
        <v>799.6</v>
      </c>
      <c r="AM258" s="3066">
        <v>799.6</v>
      </c>
      <c r="AN258" s="3066" t="s">
        <v>3560</v>
      </c>
      <c r="AP258" s="3068">
        <f t="shared" si="3"/>
        <v>19</v>
      </c>
    </row>
    <row r="259" spans="2:42" ht="27" customHeight="1">
      <c r="B259" s="3066">
        <v>267</v>
      </c>
      <c r="C259" s="3066" t="s">
        <v>3147</v>
      </c>
      <c r="D259" s="3066" t="s">
        <v>4019</v>
      </c>
      <c r="E259" s="3066" t="s">
        <v>4517</v>
      </c>
      <c r="F259" s="3066" t="s">
        <v>3917</v>
      </c>
      <c r="G259" s="3066" t="s">
        <v>4312</v>
      </c>
      <c r="H259" s="3066" t="s">
        <v>3560</v>
      </c>
      <c r="I259" s="3066" t="s">
        <v>4518</v>
      </c>
      <c r="J259" s="3066" t="s">
        <v>4518</v>
      </c>
      <c r="K259" s="3066" t="s">
        <v>3560</v>
      </c>
      <c r="L259" s="3066" t="s">
        <v>4519</v>
      </c>
      <c r="M259" s="3066" t="s">
        <v>4520</v>
      </c>
      <c r="N259" s="3066">
        <v>37.6</v>
      </c>
      <c r="O259" s="3066" t="s">
        <v>3608</v>
      </c>
      <c r="P259" s="3066" t="s">
        <v>3566</v>
      </c>
      <c r="Q259" s="3066">
        <v>1</v>
      </c>
      <c r="R259" s="3066">
        <v>3384</v>
      </c>
      <c r="S259" s="3066" t="s">
        <v>3567</v>
      </c>
      <c r="T259" s="3066">
        <v>18</v>
      </c>
      <c r="U259" s="3066">
        <v>676.8</v>
      </c>
      <c r="V259" s="3066" t="s">
        <v>3560</v>
      </c>
      <c r="W259" s="3066" t="s">
        <v>3568</v>
      </c>
      <c r="X259" s="3066">
        <v>2.27</v>
      </c>
      <c r="Y259" s="3066">
        <v>1022.4</v>
      </c>
      <c r="Z259" s="3066" t="s">
        <v>3568</v>
      </c>
      <c r="AA259" s="3066" t="s">
        <v>3560</v>
      </c>
      <c r="AB259" s="3066" t="s">
        <v>3609</v>
      </c>
      <c r="AC259" s="3066" t="s">
        <v>3609</v>
      </c>
      <c r="AD259" s="3066" t="s">
        <v>3609</v>
      </c>
      <c r="AE259" s="3066" t="s">
        <v>3560</v>
      </c>
      <c r="AF259" s="3067">
        <v>676.8</v>
      </c>
      <c r="AG259" s="3066">
        <v>0</v>
      </c>
      <c r="AH259" s="3066">
        <v>85.2</v>
      </c>
      <c r="AI259" s="3066">
        <v>0</v>
      </c>
      <c r="AJ259" s="3066">
        <v>75.81</v>
      </c>
      <c r="AK259" s="3066">
        <v>0</v>
      </c>
      <c r="AL259" s="3066">
        <v>837.81</v>
      </c>
      <c r="AM259" s="3066">
        <v>0</v>
      </c>
      <c r="AN259" s="3066" t="s">
        <v>3560</v>
      </c>
      <c r="AP259" s="3068">
        <f t="shared" si="3"/>
        <v>17.999999999999996</v>
      </c>
    </row>
    <row r="260" spans="2:42" ht="27" customHeight="1">
      <c r="B260" s="3066">
        <v>268</v>
      </c>
      <c r="C260" s="3066" t="s">
        <v>3147</v>
      </c>
      <c r="D260" s="3066" t="s">
        <v>4019</v>
      </c>
      <c r="E260" s="3066" t="s">
        <v>4521</v>
      </c>
      <c r="F260" s="3066" t="s">
        <v>3917</v>
      </c>
      <c r="G260" s="3066" t="s">
        <v>4312</v>
      </c>
      <c r="H260" s="3066" t="s">
        <v>3560</v>
      </c>
      <c r="I260" s="3066" t="s">
        <v>4518</v>
      </c>
      <c r="J260" s="3066" t="s">
        <v>4518</v>
      </c>
      <c r="K260" s="3066" t="s">
        <v>3560</v>
      </c>
      <c r="L260" s="3066" t="s">
        <v>4519</v>
      </c>
      <c r="M260" s="3066" t="s">
        <v>4522</v>
      </c>
      <c r="N260" s="3066">
        <v>37.6</v>
      </c>
      <c r="O260" s="3066" t="s">
        <v>3608</v>
      </c>
      <c r="P260" s="3066" t="s">
        <v>3566</v>
      </c>
      <c r="Q260" s="3066">
        <v>1</v>
      </c>
      <c r="R260" s="3066">
        <v>3384</v>
      </c>
      <c r="S260" s="3066" t="s">
        <v>3567</v>
      </c>
      <c r="T260" s="3066">
        <v>18</v>
      </c>
      <c r="U260" s="3066">
        <v>676.8</v>
      </c>
      <c r="V260" s="3066" t="s">
        <v>3560</v>
      </c>
      <c r="W260" s="3066" t="s">
        <v>3568</v>
      </c>
      <c r="X260" s="3066">
        <v>2.27</v>
      </c>
      <c r="Y260" s="3066">
        <v>1022.4</v>
      </c>
      <c r="Z260" s="3066" t="s">
        <v>3568</v>
      </c>
      <c r="AA260" s="3066" t="s">
        <v>3560</v>
      </c>
      <c r="AB260" s="3066" t="s">
        <v>3609</v>
      </c>
      <c r="AC260" s="3066" t="s">
        <v>3609</v>
      </c>
      <c r="AD260" s="3066" t="s">
        <v>3609</v>
      </c>
      <c r="AE260" s="3066" t="s">
        <v>3560</v>
      </c>
      <c r="AF260" s="3067">
        <v>676.8</v>
      </c>
      <c r="AG260" s="3066">
        <v>0</v>
      </c>
      <c r="AH260" s="3066">
        <v>85.2</v>
      </c>
      <c r="AI260" s="3066">
        <v>0</v>
      </c>
      <c r="AJ260" s="3066">
        <v>0</v>
      </c>
      <c r="AK260" s="3066">
        <v>0</v>
      </c>
      <c r="AL260" s="3066">
        <v>762</v>
      </c>
      <c r="AM260" s="3066">
        <v>0</v>
      </c>
      <c r="AN260" s="3066" t="s">
        <v>3560</v>
      </c>
      <c r="AP260" s="3068">
        <f t="shared" ref="AP260:AP323" si="4">AF260/N260</f>
        <v>17.999999999999996</v>
      </c>
    </row>
    <row r="261" spans="2:42" ht="27" customHeight="1">
      <c r="B261" s="3066">
        <v>269</v>
      </c>
      <c r="C261" s="3066" t="s">
        <v>3147</v>
      </c>
      <c r="D261" s="3066" t="s">
        <v>4019</v>
      </c>
      <c r="E261" s="3066" t="s">
        <v>4523</v>
      </c>
      <c r="F261" s="3066" t="s">
        <v>3917</v>
      </c>
      <c r="G261" s="3066" t="s">
        <v>3560</v>
      </c>
      <c r="H261" s="3066" t="s">
        <v>3560</v>
      </c>
      <c r="I261" s="3066" t="s">
        <v>3560</v>
      </c>
      <c r="J261" s="3066" t="s">
        <v>3560</v>
      </c>
      <c r="K261" s="3066" t="s">
        <v>3560</v>
      </c>
      <c r="L261" s="3066" t="s">
        <v>3560</v>
      </c>
      <c r="M261" s="3066" t="s">
        <v>4524</v>
      </c>
      <c r="N261" s="3066">
        <v>37.6</v>
      </c>
      <c r="O261" s="3066" t="s">
        <v>3560</v>
      </c>
      <c r="P261" s="3066" t="s">
        <v>3560</v>
      </c>
      <c r="Q261" s="3066">
        <v>0</v>
      </c>
      <c r="R261" s="3066">
        <v>0</v>
      </c>
      <c r="S261" s="3066" t="s">
        <v>3577</v>
      </c>
      <c r="T261" s="3066">
        <v>0</v>
      </c>
      <c r="U261" s="3066">
        <v>0</v>
      </c>
      <c r="V261" s="3066" t="s">
        <v>3560</v>
      </c>
      <c r="W261" s="3066" t="s">
        <v>3568</v>
      </c>
      <c r="X261" s="3066">
        <v>0</v>
      </c>
      <c r="Y261" s="3066">
        <v>0</v>
      </c>
      <c r="Z261" s="3066" t="s">
        <v>3568</v>
      </c>
      <c r="AA261" s="3066" t="s">
        <v>3560</v>
      </c>
      <c r="AB261" s="3066" t="s">
        <v>3560</v>
      </c>
      <c r="AC261" s="3066" t="s">
        <v>3560</v>
      </c>
      <c r="AD261" s="3066" t="s">
        <v>3560</v>
      </c>
      <c r="AE261" s="3066" t="s">
        <v>3560</v>
      </c>
      <c r="AF261" s="3067">
        <v>0</v>
      </c>
      <c r="AG261" s="3066">
        <v>0</v>
      </c>
      <c r="AH261" s="3066">
        <v>0</v>
      </c>
      <c r="AI261" s="3066">
        <v>0</v>
      </c>
      <c r="AJ261" s="3066">
        <v>0</v>
      </c>
      <c r="AK261" s="3066">
        <v>0</v>
      </c>
      <c r="AL261" s="3066">
        <v>0</v>
      </c>
      <c r="AM261" s="3066">
        <v>0</v>
      </c>
      <c r="AN261" s="3066" t="s">
        <v>3560</v>
      </c>
      <c r="AP261" s="3068">
        <f t="shared" si="4"/>
        <v>0</v>
      </c>
    </row>
    <row r="262" spans="2:42" ht="27" customHeight="1">
      <c r="B262" s="3066">
        <v>270</v>
      </c>
      <c r="C262" s="3066" t="s">
        <v>3147</v>
      </c>
      <c r="D262" s="3066" t="s">
        <v>4019</v>
      </c>
      <c r="E262" s="3066" t="s">
        <v>4525</v>
      </c>
      <c r="F262" s="3066" t="s">
        <v>3917</v>
      </c>
      <c r="G262" s="3066" t="s">
        <v>1373</v>
      </c>
      <c r="H262" s="3066" t="s">
        <v>3560</v>
      </c>
      <c r="I262" s="3066" t="s">
        <v>4420</v>
      </c>
      <c r="J262" s="3066" t="s">
        <v>4421</v>
      </c>
      <c r="K262" s="3066" t="s">
        <v>3560</v>
      </c>
      <c r="L262" s="3066" t="s">
        <v>4422</v>
      </c>
      <c r="M262" s="3066" t="s">
        <v>4526</v>
      </c>
      <c r="N262" s="3066">
        <v>37.6</v>
      </c>
      <c r="O262" s="3066" t="s">
        <v>3785</v>
      </c>
      <c r="P262" s="3066" t="s">
        <v>3566</v>
      </c>
      <c r="Q262" s="3066">
        <v>1</v>
      </c>
      <c r="R262" s="3066">
        <v>618</v>
      </c>
      <c r="S262" s="3066" t="s">
        <v>3567</v>
      </c>
      <c r="T262" s="3066">
        <v>18</v>
      </c>
      <c r="U262" s="3066">
        <v>676.8</v>
      </c>
      <c r="V262" s="3066" t="s">
        <v>3560</v>
      </c>
      <c r="W262" s="3066" t="s">
        <v>3568</v>
      </c>
      <c r="X262" s="3066">
        <v>2.27</v>
      </c>
      <c r="Y262" s="3066">
        <v>1022.4</v>
      </c>
      <c r="Z262" s="3066" t="s">
        <v>3568</v>
      </c>
      <c r="AA262" s="3066" t="s">
        <v>3560</v>
      </c>
      <c r="AB262" s="3066" t="s">
        <v>3591</v>
      </c>
      <c r="AC262" s="3066" t="s">
        <v>3591</v>
      </c>
      <c r="AD262" s="3066" t="s">
        <v>3591</v>
      </c>
      <c r="AE262" s="3066" t="s">
        <v>3560</v>
      </c>
      <c r="AF262" s="3067">
        <v>676.8</v>
      </c>
      <c r="AG262" s="3066">
        <v>0</v>
      </c>
      <c r="AH262" s="3066">
        <v>85.2</v>
      </c>
      <c r="AI262" s="3066">
        <v>0</v>
      </c>
      <c r="AJ262" s="3066">
        <v>49.97</v>
      </c>
      <c r="AK262" s="3066">
        <v>0</v>
      </c>
      <c r="AL262" s="3066">
        <v>811.97</v>
      </c>
      <c r="AM262" s="3066">
        <v>0</v>
      </c>
      <c r="AN262" s="3066" t="s">
        <v>3560</v>
      </c>
      <c r="AP262" s="3068">
        <f t="shared" si="4"/>
        <v>17.999999999999996</v>
      </c>
    </row>
    <row r="263" spans="2:42" ht="27" customHeight="1">
      <c r="B263" s="3066">
        <v>271</v>
      </c>
      <c r="C263" s="3066" t="s">
        <v>3147</v>
      </c>
      <c r="D263" s="3066" t="s">
        <v>4019</v>
      </c>
      <c r="E263" s="3066" t="s">
        <v>4527</v>
      </c>
      <c r="F263" s="3066" t="s">
        <v>3917</v>
      </c>
      <c r="G263" s="3066" t="s">
        <v>1373</v>
      </c>
      <c r="H263" s="3066" t="s">
        <v>3560</v>
      </c>
      <c r="I263" s="3066" t="s">
        <v>4513</v>
      </c>
      <c r="J263" s="3066" t="s">
        <v>3560</v>
      </c>
      <c r="K263" s="3066" t="s">
        <v>3560</v>
      </c>
      <c r="L263" s="3066" t="s">
        <v>4514</v>
      </c>
      <c r="M263" s="3066" t="s">
        <v>4528</v>
      </c>
      <c r="N263" s="3066">
        <v>37.6</v>
      </c>
      <c r="O263" s="3066" t="s">
        <v>4516</v>
      </c>
      <c r="P263" s="3066" t="s">
        <v>3566</v>
      </c>
      <c r="Q263" s="3066">
        <v>0</v>
      </c>
      <c r="R263" s="3066">
        <v>2060</v>
      </c>
      <c r="S263" s="3066" t="s">
        <v>3567</v>
      </c>
      <c r="T263" s="3066">
        <v>19</v>
      </c>
      <c r="U263" s="3066">
        <v>714.4</v>
      </c>
      <c r="V263" s="3066" t="s">
        <v>3560</v>
      </c>
      <c r="W263" s="3066" t="s">
        <v>3568</v>
      </c>
      <c r="X263" s="3066">
        <v>2.27</v>
      </c>
      <c r="Y263" s="3066">
        <v>1022.4</v>
      </c>
      <c r="Z263" s="3066" t="s">
        <v>3568</v>
      </c>
      <c r="AA263" s="3066" t="s">
        <v>3560</v>
      </c>
      <c r="AB263" s="3066" t="s">
        <v>3584</v>
      </c>
      <c r="AC263" s="3066" t="s">
        <v>3584</v>
      </c>
      <c r="AD263" s="3066" t="s">
        <v>3584</v>
      </c>
      <c r="AE263" s="3066" t="s">
        <v>3560</v>
      </c>
      <c r="AF263" s="3067">
        <v>714.4</v>
      </c>
      <c r="AG263" s="3066">
        <v>714.4</v>
      </c>
      <c r="AH263" s="3066">
        <v>85.2</v>
      </c>
      <c r="AI263" s="3066">
        <v>85.2</v>
      </c>
      <c r="AJ263" s="3066">
        <v>158.84</v>
      </c>
      <c r="AK263" s="3066">
        <v>158.84</v>
      </c>
      <c r="AL263" s="3066">
        <v>958.44</v>
      </c>
      <c r="AM263" s="3066">
        <v>958.44</v>
      </c>
      <c r="AN263" s="3066" t="s">
        <v>3560</v>
      </c>
      <c r="AP263" s="3068">
        <f t="shared" si="4"/>
        <v>19</v>
      </c>
    </row>
    <row r="264" spans="2:42" ht="27" customHeight="1">
      <c r="B264" s="3066">
        <v>272</v>
      </c>
      <c r="C264" s="3066" t="s">
        <v>3147</v>
      </c>
      <c r="D264" s="3066" t="s">
        <v>4019</v>
      </c>
      <c r="E264" s="3066" t="s">
        <v>4529</v>
      </c>
      <c r="F264" s="3066" t="s">
        <v>3917</v>
      </c>
      <c r="G264" s="3066" t="s">
        <v>1373</v>
      </c>
      <c r="H264" s="3066" t="s">
        <v>3560</v>
      </c>
      <c r="I264" s="3066" t="s">
        <v>4530</v>
      </c>
      <c r="J264" s="3066" t="s">
        <v>3560</v>
      </c>
      <c r="K264" s="3066" t="s">
        <v>3560</v>
      </c>
      <c r="L264" s="3066" t="s">
        <v>3560</v>
      </c>
      <c r="M264" s="3066" t="s">
        <v>4531</v>
      </c>
      <c r="N264" s="3066">
        <v>37.6</v>
      </c>
      <c r="O264" s="3066" t="s">
        <v>4532</v>
      </c>
      <c r="P264" s="3066" t="s">
        <v>3566</v>
      </c>
      <c r="Q264" s="3066">
        <v>3</v>
      </c>
      <c r="R264" s="3066">
        <v>0</v>
      </c>
      <c r="S264" s="3066" t="s">
        <v>3577</v>
      </c>
      <c r="T264" s="3066">
        <v>0</v>
      </c>
      <c r="U264" s="3066">
        <v>0</v>
      </c>
      <c r="V264" s="3066" t="s">
        <v>3560</v>
      </c>
      <c r="W264" s="3066" t="s">
        <v>3568</v>
      </c>
      <c r="X264" s="3066">
        <v>0.27</v>
      </c>
      <c r="Y264" s="3066">
        <v>120</v>
      </c>
      <c r="Z264" s="3066" t="s">
        <v>3568</v>
      </c>
      <c r="AA264" s="3066" t="s">
        <v>3560</v>
      </c>
      <c r="AB264" s="3066" t="s">
        <v>3642</v>
      </c>
      <c r="AC264" s="3066" t="s">
        <v>3642</v>
      </c>
      <c r="AD264" s="3066" t="s">
        <v>3642</v>
      </c>
      <c r="AE264" s="3066" t="s">
        <v>3560</v>
      </c>
      <c r="AF264" s="3067">
        <v>0</v>
      </c>
      <c r="AG264" s="3066">
        <v>0</v>
      </c>
      <c r="AH264" s="3066">
        <v>10</v>
      </c>
      <c r="AI264" s="3066">
        <v>10</v>
      </c>
      <c r="AJ264" s="3066">
        <v>201.75</v>
      </c>
      <c r="AK264" s="3066">
        <v>201.75</v>
      </c>
      <c r="AL264" s="3066">
        <v>211.75</v>
      </c>
      <c r="AM264" s="3066">
        <v>211.75</v>
      </c>
      <c r="AN264" s="3066" t="s">
        <v>3560</v>
      </c>
      <c r="AP264" s="3068">
        <f t="shared" si="4"/>
        <v>0</v>
      </c>
    </row>
    <row r="265" spans="2:42" ht="27" customHeight="1">
      <c r="B265" s="3066">
        <v>273</v>
      </c>
      <c r="C265" s="3066" t="s">
        <v>3147</v>
      </c>
      <c r="D265" s="3066" t="s">
        <v>4019</v>
      </c>
      <c r="E265" s="3066" t="s">
        <v>4533</v>
      </c>
      <c r="F265" s="3066" t="s">
        <v>3917</v>
      </c>
      <c r="G265" s="3066" t="s">
        <v>3560</v>
      </c>
      <c r="H265" s="3066" t="s">
        <v>3560</v>
      </c>
      <c r="I265" s="3066" t="s">
        <v>3560</v>
      </c>
      <c r="J265" s="3066" t="s">
        <v>3560</v>
      </c>
      <c r="K265" s="3066" t="s">
        <v>3560</v>
      </c>
      <c r="L265" s="3066" t="s">
        <v>3560</v>
      </c>
      <c r="M265" s="3066" t="s">
        <v>4534</v>
      </c>
      <c r="N265" s="3066">
        <v>37.6</v>
      </c>
      <c r="O265" s="3066" t="s">
        <v>3560</v>
      </c>
      <c r="P265" s="3066" t="s">
        <v>3560</v>
      </c>
      <c r="Q265" s="3066">
        <v>0</v>
      </c>
      <c r="R265" s="3066">
        <v>0</v>
      </c>
      <c r="S265" s="3066" t="s">
        <v>3577</v>
      </c>
      <c r="T265" s="3066">
        <v>0</v>
      </c>
      <c r="U265" s="3066">
        <v>0</v>
      </c>
      <c r="V265" s="3066" t="s">
        <v>3560</v>
      </c>
      <c r="W265" s="3066" t="s">
        <v>3568</v>
      </c>
      <c r="X265" s="3066">
        <v>0</v>
      </c>
      <c r="Y265" s="3066">
        <v>0</v>
      </c>
      <c r="Z265" s="3066" t="s">
        <v>3568</v>
      </c>
      <c r="AA265" s="3066" t="s">
        <v>3560</v>
      </c>
      <c r="AB265" s="3066" t="s">
        <v>3560</v>
      </c>
      <c r="AC265" s="3066" t="s">
        <v>3560</v>
      </c>
      <c r="AD265" s="3066" t="s">
        <v>3560</v>
      </c>
      <c r="AE265" s="3066" t="s">
        <v>3560</v>
      </c>
      <c r="AF265" s="3067">
        <v>0</v>
      </c>
      <c r="AG265" s="3066">
        <v>0</v>
      </c>
      <c r="AH265" s="3066">
        <v>0</v>
      </c>
      <c r="AI265" s="3066">
        <v>0</v>
      </c>
      <c r="AJ265" s="3066">
        <v>0</v>
      </c>
      <c r="AK265" s="3066">
        <v>0</v>
      </c>
      <c r="AL265" s="3066">
        <v>0</v>
      </c>
      <c r="AM265" s="3066">
        <v>0</v>
      </c>
      <c r="AN265" s="3066" t="s">
        <v>3560</v>
      </c>
      <c r="AP265" s="3068">
        <f t="shared" si="4"/>
        <v>0</v>
      </c>
    </row>
    <row r="266" spans="2:42" ht="27" customHeight="1">
      <c r="B266" s="3066">
        <v>274</v>
      </c>
      <c r="C266" s="3066" t="s">
        <v>3147</v>
      </c>
      <c r="D266" s="3066" t="s">
        <v>4019</v>
      </c>
      <c r="E266" s="3066" t="s">
        <v>4535</v>
      </c>
      <c r="F266" s="3066" t="s">
        <v>3917</v>
      </c>
      <c r="G266" s="3066" t="s">
        <v>1373</v>
      </c>
      <c r="H266" s="3066" t="s">
        <v>3560</v>
      </c>
      <c r="I266" s="3066" t="s">
        <v>4536</v>
      </c>
      <c r="J266" s="3066" t="s">
        <v>3560</v>
      </c>
      <c r="K266" s="3066" t="s">
        <v>3560</v>
      </c>
      <c r="L266" s="3066" t="s">
        <v>4537</v>
      </c>
      <c r="M266" s="3066" t="s">
        <v>4538</v>
      </c>
      <c r="N266" s="3066">
        <v>37.6</v>
      </c>
      <c r="O266" s="3066" t="s">
        <v>4539</v>
      </c>
      <c r="P266" s="3066" t="s">
        <v>3566</v>
      </c>
      <c r="Q266" s="3066">
        <v>1</v>
      </c>
      <c r="R266" s="3066">
        <v>3434</v>
      </c>
      <c r="S266" s="3066" t="s">
        <v>3567</v>
      </c>
      <c r="T266" s="3066">
        <v>18</v>
      </c>
      <c r="U266" s="3066">
        <v>676.8</v>
      </c>
      <c r="V266" s="3066" t="s">
        <v>3560</v>
      </c>
      <c r="W266" s="3066" t="s">
        <v>3568</v>
      </c>
      <c r="X266" s="3066">
        <v>2.27</v>
      </c>
      <c r="Y266" s="3066">
        <v>1022.4</v>
      </c>
      <c r="Z266" s="3066" t="s">
        <v>3568</v>
      </c>
      <c r="AA266" s="3066" t="s">
        <v>3560</v>
      </c>
      <c r="AB266" s="3066" t="s">
        <v>3591</v>
      </c>
      <c r="AC266" s="3066" t="s">
        <v>3591</v>
      </c>
      <c r="AD266" s="3066" t="s">
        <v>3591</v>
      </c>
      <c r="AE266" s="3066" t="s">
        <v>3560</v>
      </c>
      <c r="AF266" s="3067">
        <v>0</v>
      </c>
      <c r="AG266" s="3066">
        <v>0</v>
      </c>
      <c r="AH266" s="3066">
        <v>0</v>
      </c>
      <c r="AI266" s="3066">
        <v>0</v>
      </c>
      <c r="AJ266" s="3066">
        <v>180.42</v>
      </c>
      <c r="AK266" s="3066">
        <v>0</v>
      </c>
      <c r="AL266" s="3066">
        <v>180.42</v>
      </c>
      <c r="AM266" s="3066">
        <v>0</v>
      </c>
      <c r="AN266" s="3066" t="s">
        <v>3560</v>
      </c>
      <c r="AP266" s="3068">
        <f t="shared" si="4"/>
        <v>0</v>
      </c>
    </row>
    <row r="267" spans="2:42" ht="27" customHeight="1">
      <c r="B267" s="3066">
        <v>275</v>
      </c>
      <c r="C267" s="3066" t="s">
        <v>3147</v>
      </c>
      <c r="D267" s="3066" t="s">
        <v>4019</v>
      </c>
      <c r="E267" s="3066" t="s">
        <v>4540</v>
      </c>
      <c r="F267" s="3066" t="s">
        <v>3917</v>
      </c>
      <c r="G267" s="3066" t="s">
        <v>3560</v>
      </c>
      <c r="H267" s="3066" t="s">
        <v>3560</v>
      </c>
      <c r="I267" s="3066" t="s">
        <v>4541</v>
      </c>
      <c r="J267" s="3066" t="s">
        <v>4541</v>
      </c>
      <c r="K267" s="3066" t="s">
        <v>3560</v>
      </c>
      <c r="L267" s="3066" t="s">
        <v>4542</v>
      </c>
      <c r="M267" s="3066" t="s">
        <v>4543</v>
      </c>
      <c r="N267" s="3066">
        <v>42.6</v>
      </c>
      <c r="O267" s="3066" t="s">
        <v>3619</v>
      </c>
      <c r="P267" s="3066" t="s">
        <v>3566</v>
      </c>
      <c r="Q267" s="3066">
        <v>1</v>
      </c>
      <c r="R267" s="3066">
        <v>2586</v>
      </c>
      <c r="S267" s="3066" t="s">
        <v>3567</v>
      </c>
      <c r="T267" s="3066">
        <v>19</v>
      </c>
      <c r="U267" s="3066">
        <v>809.4</v>
      </c>
      <c r="V267" s="3066" t="s">
        <v>3560</v>
      </c>
      <c r="W267" s="3066" t="s">
        <v>3568</v>
      </c>
      <c r="X267" s="3066">
        <v>2.23</v>
      </c>
      <c r="Y267" s="3066">
        <v>1142.4000000000001</v>
      </c>
      <c r="Z267" s="3066" t="s">
        <v>3568</v>
      </c>
      <c r="AA267" s="3066" t="s">
        <v>3560</v>
      </c>
      <c r="AB267" s="3066" t="s">
        <v>3584</v>
      </c>
      <c r="AC267" s="3066" t="s">
        <v>3584</v>
      </c>
      <c r="AD267" s="3066" t="s">
        <v>3584</v>
      </c>
      <c r="AE267" s="3066" t="s">
        <v>3560</v>
      </c>
      <c r="AF267" s="3067">
        <v>809.4</v>
      </c>
      <c r="AG267" s="3066">
        <v>0</v>
      </c>
      <c r="AH267" s="3066">
        <v>95.2</v>
      </c>
      <c r="AI267" s="3066">
        <v>0</v>
      </c>
      <c r="AJ267" s="3066">
        <v>16.489999999999998</v>
      </c>
      <c r="AK267" s="3066">
        <v>0</v>
      </c>
      <c r="AL267" s="3066">
        <v>921.09</v>
      </c>
      <c r="AM267" s="3066">
        <v>0</v>
      </c>
      <c r="AN267" s="3066" t="s">
        <v>3560</v>
      </c>
      <c r="AP267" s="3068">
        <f t="shared" si="4"/>
        <v>19</v>
      </c>
    </row>
    <row r="268" spans="2:42" ht="27" customHeight="1">
      <c r="B268" s="3066">
        <v>276</v>
      </c>
      <c r="C268" s="3066" t="s">
        <v>3147</v>
      </c>
      <c r="D268" s="3066" t="s">
        <v>4053</v>
      </c>
      <c r="E268" s="3066" t="s">
        <v>4544</v>
      </c>
      <c r="F268" s="3066" t="s">
        <v>3917</v>
      </c>
      <c r="G268" s="3066" t="s">
        <v>1373</v>
      </c>
      <c r="H268" s="3066" t="s">
        <v>3560</v>
      </c>
      <c r="I268" s="3066" t="s">
        <v>3879</v>
      </c>
      <c r="J268" s="3066" t="s">
        <v>3880</v>
      </c>
      <c r="K268" s="3066" t="s">
        <v>3560</v>
      </c>
      <c r="L268" s="3066" t="s">
        <v>3881</v>
      </c>
      <c r="M268" s="3066" t="s">
        <v>4545</v>
      </c>
      <c r="N268" s="3066">
        <v>37.6</v>
      </c>
      <c r="O268" s="3066" t="s">
        <v>3931</v>
      </c>
      <c r="P268" s="3066" t="s">
        <v>3566</v>
      </c>
      <c r="Q268" s="3066">
        <v>1</v>
      </c>
      <c r="R268" s="3066">
        <v>5138.2</v>
      </c>
      <c r="S268" s="3066" t="s">
        <v>3567</v>
      </c>
      <c r="T268" s="3066">
        <v>18</v>
      </c>
      <c r="U268" s="3066">
        <v>676.8</v>
      </c>
      <c r="V268" s="3066" t="s">
        <v>3560</v>
      </c>
      <c r="W268" s="3066" t="s">
        <v>3568</v>
      </c>
      <c r="X268" s="3066">
        <v>2</v>
      </c>
      <c r="Y268" s="3066">
        <v>902.4</v>
      </c>
      <c r="Z268" s="3066" t="s">
        <v>3568</v>
      </c>
      <c r="AA268" s="3066" t="s">
        <v>3560</v>
      </c>
      <c r="AB268" s="3066" t="s">
        <v>3932</v>
      </c>
      <c r="AC268" s="3066" t="s">
        <v>3932</v>
      </c>
      <c r="AD268" s="3066" t="s">
        <v>3932</v>
      </c>
      <c r="AE268" s="3066" t="s">
        <v>3560</v>
      </c>
      <c r="AF268" s="3067">
        <v>676.8</v>
      </c>
      <c r="AG268" s="3066">
        <v>676.8</v>
      </c>
      <c r="AH268" s="3066">
        <v>75.2</v>
      </c>
      <c r="AI268" s="3066">
        <v>75.2</v>
      </c>
      <c r="AJ268" s="3066">
        <v>80.11</v>
      </c>
      <c r="AK268" s="3066">
        <v>80.11</v>
      </c>
      <c r="AL268" s="3066">
        <v>832.11</v>
      </c>
      <c r="AM268" s="3066">
        <v>832.11</v>
      </c>
      <c r="AN268" s="3066" t="s">
        <v>3560</v>
      </c>
      <c r="AP268" s="3068">
        <f t="shared" si="4"/>
        <v>17.999999999999996</v>
      </c>
    </row>
    <row r="269" spans="2:42" ht="27" customHeight="1">
      <c r="B269" s="3066">
        <v>277</v>
      </c>
      <c r="C269" s="3066" t="s">
        <v>3147</v>
      </c>
      <c r="D269" s="3066" t="s">
        <v>4053</v>
      </c>
      <c r="E269" s="3066" t="s">
        <v>4546</v>
      </c>
      <c r="F269" s="3066" t="s">
        <v>3917</v>
      </c>
      <c r="G269" s="3066" t="s">
        <v>1373</v>
      </c>
      <c r="H269" s="3066" t="s">
        <v>3560</v>
      </c>
      <c r="I269" s="3066" t="s">
        <v>3879</v>
      </c>
      <c r="J269" s="3066" t="s">
        <v>3880</v>
      </c>
      <c r="K269" s="3066" t="s">
        <v>3560</v>
      </c>
      <c r="L269" s="3066" t="s">
        <v>3881</v>
      </c>
      <c r="M269" s="3066" t="s">
        <v>4547</v>
      </c>
      <c r="N269" s="3066">
        <v>37.6</v>
      </c>
      <c r="O269" s="3066" t="s">
        <v>3931</v>
      </c>
      <c r="P269" s="3066" t="s">
        <v>3566</v>
      </c>
      <c r="Q269" s="3066">
        <v>1</v>
      </c>
      <c r="R269" s="3066">
        <v>0</v>
      </c>
      <c r="S269" s="3066" t="s">
        <v>3577</v>
      </c>
      <c r="T269" s="3066">
        <v>18</v>
      </c>
      <c r="U269" s="3066">
        <v>676.8</v>
      </c>
      <c r="V269" s="3066" t="s">
        <v>3560</v>
      </c>
      <c r="W269" s="3066" t="s">
        <v>3568</v>
      </c>
      <c r="X269" s="3066">
        <v>2</v>
      </c>
      <c r="Y269" s="3066">
        <v>902.4</v>
      </c>
      <c r="Z269" s="3066" t="s">
        <v>3568</v>
      </c>
      <c r="AA269" s="3066" t="s">
        <v>3560</v>
      </c>
      <c r="AB269" s="3066" t="s">
        <v>3932</v>
      </c>
      <c r="AC269" s="3066" t="s">
        <v>3932</v>
      </c>
      <c r="AD269" s="3066" t="s">
        <v>3932</v>
      </c>
      <c r="AE269" s="3066" t="s">
        <v>3560</v>
      </c>
      <c r="AF269" s="3067">
        <v>676.8</v>
      </c>
      <c r="AG269" s="3066">
        <v>676.8</v>
      </c>
      <c r="AH269" s="3066">
        <v>75.2</v>
      </c>
      <c r="AI269" s="3066">
        <v>75.2</v>
      </c>
      <c r="AJ269" s="3066">
        <v>221.64</v>
      </c>
      <c r="AK269" s="3066">
        <v>221.64</v>
      </c>
      <c r="AL269" s="3066">
        <v>973.64</v>
      </c>
      <c r="AM269" s="3066">
        <v>973.64</v>
      </c>
      <c r="AN269" s="3066" t="s">
        <v>3560</v>
      </c>
      <c r="AP269" s="3068">
        <f t="shared" si="4"/>
        <v>17.999999999999996</v>
      </c>
    </row>
    <row r="270" spans="2:42" ht="27" customHeight="1">
      <c r="B270" s="3066">
        <v>278</v>
      </c>
      <c r="C270" s="3066" t="s">
        <v>3147</v>
      </c>
      <c r="D270" s="3066" t="s">
        <v>4053</v>
      </c>
      <c r="E270" s="3066" t="s">
        <v>4548</v>
      </c>
      <c r="F270" s="3066" t="s">
        <v>3917</v>
      </c>
      <c r="G270" s="3066" t="s">
        <v>3560</v>
      </c>
      <c r="H270" s="3066" t="s">
        <v>3560</v>
      </c>
      <c r="I270" s="3066" t="s">
        <v>4549</v>
      </c>
      <c r="J270" s="3066" t="s">
        <v>4549</v>
      </c>
      <c r="K270" s="3066" t="s">
        <v>3560</v>
      </c>
      <c r="L270" s="3066" t="s">
        <v>4550</v>
      </c>
      <c r="M270" s="3066" t="s">
        <v>4551</v>
      </c>
      <c r="N270" s="3066">
        <v>37.6</v>
      </c>
      <c r="O270" s="3066" t="s">
        <v>4552</v>
      </c>
      <c r="P270" s="3066" t="s">
        <v>3566</v>
      </c>
      <c r="Q270" s="3066">
        <v>0</v>
      </c>
      <c r="R270" s="3066">
        <v>3810</v>
      </c>
      <c r="S270" s="3066" t="s">
        <v>3567</v>
      </c>
      <c r="T270" s="3066">
        <v>18</v>
      </c>
      <c r="U270" s="3066">
        <v>676.8</v>
      </c>
      <c r="V270" s="3066" t="s">
        <v>3560</v>
      </c>
      <c r="W270" s="3066" t="s">
        <v>3568</v>
      </c>
      <c r="X270" s="3066">
        <v>2.27</v>
      </c>
      <c r="Y270" s="3066">
        <v>1022.4</v>
      </c>
      <c r="Z270" s="3066" t="s">
        <v>3568</v>
      </c>
      <c r="AA270" s="3066" t="s">
        <v>3560</v>
      </c>
      <c r="AB270" s="3066" t="s">
        <v>4553</v>
      </c>
      <c r="AC270" s="3066" t="s">
        <v>4553</v>
      </c>
      <c r="AD270" s="3066" t="s">
        <v>4553</v>
      </c>
      <c r="AE270" s="3066" t="s">
        <v>3560</v>
      </c>
      <c r="AF270" s="3067">
        <v>676.8</v>
      </c>
      <c r="AG270" s="3066">
        <v>676.8</v>
      </c>
      <c r="AH270" s="3066">
        <v>85.2</v>
      </c>
      <c r="AI270" s="3066">
        <v>85.2</v>
      </c>
      <c r="AJ270" s="3066">
        <v>20.22</v>
      </c>
      <c r="AK270" s="3066">
        <v>20.22</v>
      </c>
      <c r="AL270" s="3066">
        <v>782.22</v>
      </c>
      <c r="AM270" s="3066">
        <v>782.22</v>
      </c>
      <c r="AN270" s="3066" t="s">
        <v>3560</v>
      </c>
      <c r="AP270" s="3068">
        <f t="shared" si="4"/>
        <v>17.999999999999996</v>
      </c>
    </row>
    <row r="271" spans="2:42" ht="27" customHeight="1">
      <c r="B271" s="3066">
        <v>279</v>
      </c>
      <c r="C271" s="3066" t="s">
        <v>3147</v>
      </c>
      <c r="D271" s="3066" t="s">
        <v>4053</v>
      </c>
      <c r="E271" s="3066" t="s">
        <v>4554</v>
      </c>
      <c r="F271" s="3066" t="s">
        <v>3917</v>
      </c>
      <c r="G271" s="3066" t="s">
        <v>3560</v>
      </c>
      <c r="H271" s="3066" t="s">
        <v>3560</v>
      </c>
      <c r="I271" s="3066" t="s">
        <v>3560</v>
      </c>
      <c r="J271" s="3066" t="s">
        <v>3560</v>
      </c>
      <c r="K271" s="3066" t="s">
        <v>3560</v>
      </c>
      <c r="L271" s="3066" t="s">
        <v>3560</v>
      </c>
      <c r="M271" s="3066" t="s">
        <v>4555</v>
      </c>
      <c r="N271" s="3066">
        <v>37.6</v>
      </c>
      <c r="O271" s="3066" t="s">
        <v>3560</v>
      </c>
      <c r="P271" s="3066" t="s">
        <v>3560</v>
      </c>
      <c r="Q271" s="3066">
        <v>0</v>
      </c>
      <c r="R271" s="3066">
        <v>0</v>
      </c>
      <c r="S271" s="3066" t="s">
        <v>3577</v>
      </c>
      <c r="T271" s="3066">
        <v>0</v>
      </c>
      <c r="U271" s="3066">
        <v>0</v>
      </c>
      <c r="V271" s="3066" t="s">
        <v>3560</v>
      </c>
      <c r="W271" s="3066" t="s">
        <v>3568</v>
      </c>
      <c r="X271" s="3066">
        <v>0</v>
      </c>
      <c r="Y271" s="3066">
        <v>0</v>
      </c>
      <c r="Z271" s="3066" t="s">
        <v>3568</v>
      </c>
      <c r="AA271" s="3066" t="s">
        <v>3560</v>
      </c>
      <c r="AB271" s="3066" t="s">
        <v>3560</v>
      </c>
      <c r="AC271" s="3066" t="s">
        <v>3560</v>
      </c>
      <c r="AD271" s="3066" t="s">
        <v>3560</v>
      </c>
      <c r="AE271" s="3066" t="s">
        <v>3560</v>
      </c>
      <c r="AF271" s="3067">
        <v>0</v>
      </c>
      <c r="AG271" s="3066">
        <v>0</v>
      </c>
      <c r="AH271" s="3066">
        <v>0</v>
      </c>
      <c r="AI271" s="3066">
        <v>0</v>
      </c>
      <c r="AJ271" s="3066">
        <v>0</v>
      </c>
      <c r="AK271" s="3066">
        <v>0</v>
      </c>
      <c r="AL271" s="3066">
        <v>0</v>
      </c>
      <c r="AM271" s="3066">
        <v>0</v>
      </c>
      <c r="AN271" s="3066" t="s">
        <v>3560</v>
      </c>
      <c r="AP271" s="3068">
        <f t="shared" si="4"/>
        <v>0</v>
      </c>
    </row>
    <row r="272" spans="2:42" ht="27" customHeight="1">
      <c r="B272" s="3066">
        <v>280</v>
      </c>
      <c r="C272" s="3066" t="s">
        <v>3147</v>
      </c>
      <c r="D272" s="3066" t="s">
        <v>4053</v>
      </c>
      <c r="E272" s="3066" t="s">
        <v>4556</v>
      </c>
      <c r="F272" s="3066" t="s">
        <v>3917</v>
      </c>
      <c r="G272" s="3066" t="s">
        <v>3560</v>
      </c>
      <c r="H272" s="3066" t="s">
        <v>3560</v>
      </c>
      <c r="I272" s="3066" t="s">
        <v>4557</v>
      </c>
      <c r="J272" s="3066" t="s">
        <v>4557</v>
      </c>
      <c r="K272" s="3066" t="s">
        <v>3560</v>
      </c>
      <c r="L272" s="3066" t="s">
        <v>4558</v>
      </c>
      <c r="M272" s="3066" t="s">
        <v>4559</v>
      </c>
      <c r="N272" s="3066">
        <v>37.6</v>
      </c>
      <c r="O272" s="3066" t="s">
        <v>4560</v>
      </c>
      <c r="P272" s="3066" t="s">
        <v>3566</v>
      </c>
      <c r="Q272" s="3066">
        <v>0</v>
      </c>
      <c r="R272" s="3066">
        <v>3810</v>
      </c>
      <c r="S272" s="3066" t="s">
        <v>3567</v>
      </c>
      <c r="T272" s="3066">
        <v>18</v>
      </c>
      <c r="U272" s="3066">
        <v>676.8</v>
      </c>
      <c r="V272" s="3066" t="s">
        <v>3560</v>
      </c>
      <c r="W272" s="3066" t="s">
        <v>3568</v>
      </c>
      <c r="X272" s="3066">
        <v>2.27</v>
      </c>
      <c r="Y272" s="3066">
        <v>1022.4</v>
      </c>
      <c r="Z272" s="3066" t="s">
        <v>3568</v>
      </c>
      <c r="AA272" s="3066" t="s">
        <v>3560</v>
      </c>
      <c r="AB272" s="3066" t="s">
        <v>3591</v>
      </c>
      <c r="AC272" s="3066" t="s">
        <v>3591</v>
      </c>
      <c r="AD272" s="3066" t="s">
        <v>3591</v>
      </c>
      <c r="AE272" s="3066" t="s">
        <v>3560</v>
      </c>
      <c r="AF272" s="3067">
        <v>676.8</v>
      </c>
      <c r="AG272" s="3066">
        <v>0</v>
      </c>
      <c r="AH272" s="3066">
        <v>85.2</v>
      </c>
      <c r="AI272" s="3066">
        <v>0</v>
      </c>
      <c r="AJ272" s="3066">
        <v>40.200000000000003</v>
      </c>
      <c r="AK272" s="3066">
        <v>0</v>
      </c>
      <c r="AL272" s="3066">
        <v>802.2</v>
      </c>
      <c r="AM272" s="3066">
        <v>0</v>
      </c>
      <c r="AN272" s="3066" t="s">
        <v>3560</v>
      </c>
      <c r="AP272" s="3068">
        <f t="shared" si="4"/>
        <v>17.999999999999996</v>
      </c>
    </row>
    <row r="273" spans="2:42" ht="27" customHeight="1">
      <c r="B273" s="3066">
        <v>281</v>
      </c>
      <c r="C273" s="3066" t="s">
        <v>3147</v>
      </c>
      <c r="D273" s="3066" t="s">
        <v>4053</v>
      </c>
      <c r="E273" s="3066" t="s">
        <v>4561</v>
      </c>
      <c r="F273" s="3066" t="s">
        <v>3917</v>
      </c>
      <c r="G273" s="3066" t="s">
        <v>1373</v>
      </c>
      <c r="H273" s="3066" t="s">
        <v>3560</v>
      </c>
      <c r="I273" s="3066" t="s">
        <v>4562</v>
      </c>
      <c r="J273" s="3066" t="s">
        <v>3560</v>
      </c>
      <c r="K273" s="3066" t="s">
        <v>3560</v>
      </c>
      <c r="L273" s="3066" t="s">
        <v>3905</v>
      </c>
      <c r="M273" s="3066" t="s">
        <v>4563</v>
      </c>
      <c r="N273" s="3066">
        <v>37.6</v>
      </c>
      <c r="O273" s="3066" t="s">
        <v>4516</v>
      </c>
      <c r="P273" s="3066" t="s">
        <v>3566</v>
      </c>
      <c r="Q273" s="3066">
        <v>0</v>
      </c>
      <c r="R273" s="3066">
        <v>781</v>
      </c>
      <c r="S273" s="3066" t="s">
        <v>3567</v>
      </c>
      <c r="T273" s="3066">
        <v>0</v>
      </c>
      <c r="U273" s="3066">
        <v>0</v>
      </c>
      <c r="V273" s="3066" t="s">
        <v>3560</v>
      </c>
      <c r="W273" s="3066" t="s">
        <v>3568</v>
      </c>
      <c r="X273" s="3066">
        <v>2.27</v>
      </c>
      <c r="Y273" s="3066">
        <v>1022.4</v>
      </c>
      <c r="Z273" s="3066" t="s">
        <v>3568</v>
      </c>
      <c r="AA273" s="3066" t="s">
        <v>3560</v>
      </c>
      <c r="AB273" s="3066" t="s">
        <v>3584</v>
      </c>
      <c r="AC273" s="3066" t="s">
        <v>3584</v>
      </c>
      <c r="AD273" s="3066" t="s">
        <v>3584</v>
      </c>
      <c r="AE273" s="3066" t="s">
        <v>3560</v>
      </c>
      <c r="AF273" s="3067">
        <v>0</v>
      </c>
      <c r="AG273" s="3066">
        <v>0</v>
      </c>
      <c r="AH273" s="3066">
        <v>85.2</v>
      </c>
      <c r="AI273" s="3066">
        <v>85.2</v>
      </c>
      <c r="AJ273" s="3066">
        <v>71.14</v>
      </c>
      <c r="AK273" s="3066">
        <v>71.14</v>
      </c>
      <c r="AL273" s="3066">
        <v>156.34</v>
      </c>
      <c r="AM273" s="3066">
        <v>156.34</v>
      </c>
      <c r="AN273" s="3066" t="s">
        <v>3560</v>
      </c>
      <c r="AP273" s="3068">
        <f t="shared" si="4"/>
        <v>0</v>
      </c>
    </row>
    <row r="274" spans="2:42" ht="27" customHeight="1">
      <c r="B274" s="3066">
        <v>282</v>
      </c>
      <c r="C274" s="3066" t="s">
        <v>3147</v>
      </c>
      <c r="D274" s="3066" t="s">
        <v>4053</v>
      </c>
      <c r="E274" s="3066" t="s">
        <v>4564</v>
      </c>
      <c r="F274" s="3066" t="s">
        <v>3917</v>
      </c>
      <c r="G274" s="3066" t="s">
        <v>1373</v>
      </c>
      <c r="H274" s="3066" t="s">
        <v>3560</v>
      </c>
      <c r="I274" s="3066" t="s">
        <v>4565</v>
      </c>
      <c r="J274" s="3066" t="s">
        <v>3560</v>
      </c>
      <c r="K274" s="3066" t="s">
        <v>3560</v>
      </c>
      <c r="L274" s="3066" t="s">
        <v>4566</v>
      </c>
      <c r="M274" s="3066" t="s">
        <v>4567</v>
      </c>
      <c r="N274" s="3066">
        <v>37.6</v>
      </c>
      <c r="O274" s="3066" t="s">
        <v>3619</v>
      </c>
      <c r="P274" s="3066" t="s">
        <v>3745</v>
      </c>
      <c r="Q274" s="3066">
        <v>1</v>
      </c>
      <c r="R274" s="3066">
        <v>3434</v>
      </c>
      <c r="S274" s="3066" t="s">
        <v>3567</v>
      </c>
      <c r="T274" s="3066">
        <v>19</v>
      </c>
      <c r="U274" s="3066">
        <v>714.4</v>
      </c>
      <c r="V274" s="3066" t="s">
        <v>3560</v>
      </c>
      <c r="W274" s="3066" t="s">
        <v>3568</v>
      </c>
      <c r="X274" s="3066">
        <v>2.27</v>
      </c>
      <c r="Y274" s="3066">
        <v>1022.4</v>
      </c>
      <c r="Z274" s="3066" t="s">
        <v>3568</v>
      </c>
      <c r="AA274" s="3066" t="s">
        <v>3560</v>
      </c>
      <c r="AB274" s="3066" t="s">
        <v>3584</v>
      </c>
      <c r="AC274" s="3066" t="s">
        <v>3584</v>
      </c>
      <c r="AD274" s="3066" t="s">
        <v>3584</v>
      </c>
      <c r="AE274" s="3066" t="s">
        <v>3560</v>
      </c>
      <c r="AF274" s="3067">
        <v>0</v>
      </c>
      <c r="AG274" s="3066">
        <v>0</v>
      </c>
      <c r="AH274" s="3066">
        <v>0</v>
      </c>
      <c r="AI274" s="3066">
        <v>0</v>
      </c>
      <c r="AJ274" s="3066">
        <v>94.76</v>
      </c>
      <c r="AK274" s="3066">
        <v>94.76</v>
      </c>
      <c r="AL274" s="3066">
        <v>94.76</v>
      </c>
      <c r="AM274" s="3066">
        <v>94.76</v>
      </c>
      <c r="AN274" s="3066" t="s">
        <v>3560</v>
      </c>
      <c r="AP274" s="3068">
        <f t="shared" si="4"/>
        <v>0</v>
      </c>
    </row>
    <row r="275" spans="2:42" ht="27" customHeight="1">
      <c r="B275" s="3066">
        <v>283</v>
      </c>
      <c r="C275" s="3066" t="s">
        <v>3147</v>
      </c>
      <c r="D275" s="3066" t="s">
        <v>4053</v>
      </c>
      <c r="E275" s="3066" t="s">
        <v>4568</v>
      </c>
      <c r="F275" s="3066" t="s">
        <v>3917</v>
      </c>
      <c r="G275" s="3066" t="s">
        <v>3560</v>
      </c>
      <c r="H275" s="3066" t="s">
        <v>3560</v>
      </c>
      <c r="I275" s="3066" t="s">
        <v>3560</v>
      </c>
      <c r="J275" s="3066" t="s">
        <v>3560</v>
      </c>
      <c r="K275" s="3066" t="s">
        <v>3560</v>
      </c>
      <c r="L275" s="3066" t="s">
        <v>3560</v>
      </c>
      <c r="M275" s="3066" t="s">
        <v>4569</v>
      </c>
      <c r="N275" s="3066">
        <v>37.6</v>
      </c>
      <c r="O275" s="3066" t="s">
        <v>3560</v>
      </c>
      <c r="P275" s="3066" t="s">
        <v>3560</v>
      </c>
      <c r="Q275" s="3066">
        <v>0</v>
      </c>
      <c r="R275" s="3066">
        <v>0</v>
      </c>
      <c r="S275" s="3066" t="s">
        <v>3577</v>
      </c>
      <c r="T275" s="3066">
        <v>0</v>
      </c>
      <c r="U275" s="3066">
        <v>0</v>
      </c>
      <c r="V275" s="3066" t="s">
        <v>3560</v>
      </c>
      <c r="W275" s="3066" t="s">
        <v>3568</v>
      </c>
      <c r="X275" s="3066">
        <v>0</v>
      </c>
      <c r="Y275" s="3066">
        <v>0</v>
      </c>
      <c r="Z275" s="3066" t="s">
        <v>3568</v>
      </c>
      <c r="AA275" s="3066" t="s">
        <v>3560</v>
      </c>
      <c r="AB275" s="3066" t="s">
        <v>3560</v>
      </c>
      <c r="AC275" s="3066" t="s">
        <v>3560</v>
      </c>
      <c r="AD275" s="3066" t="s">
        <v>3560</v>
      </c>
      <c r="AE275" s="3066" t="s">
        <v>3560</v>
      </c>
      <c r="AF275" s="3067">
        <v>0</v>
      </c>
      <c r="AG275" s="3066">
        <v>0</v>
      </c>
      <c r="AH275" s="3066">
        <v>0</v>
      </c>
      <c r="AI275" s="3066">
        <v>0</v>
      </c>
      <c r="AJ275" s="3066">
        <v>0</v>
      </c>
      <c r="AK275" s="3066">
        <v>0</v>
      </c>
      <c r="AL275" s="3066">
        <v>0</v>
      </c>
      <c r="AM275" s="3066">
        <v>0</v>
      </c>
      <c r="AN275" s="3066" t="s">
        <v>3560</v>
      </c>
      <c r="AP275" s="3068">
        <f t="shared" si="4"/>
        <v>0</v>
      </c>
    </row>
    <row r="276" spans="2:42" ht="27" customHeight="1">
      <c r="B276" s="3066">
        <v>284</v>
      </c>
      <c r="C276" s="3066" t="s">
        <v>3147</v>
      </c>
      <c r="D276" s="3066" t="s">
        <v>4053</v>
      </c>
      <c r="E276" s="3066" t="s">
        <v>4570</v>
      </c>
      <c r="F276" s="3066" t="s">
        <v>3917</v>
      </c>
      <c r="G276" s="3066" t="s">
        <v>3560</v>
      </c>
      <c r="H276" s="3066" t="s">
        <v>3560</v>
      </c>
      <c r="I276" s="3066" t="s">
        <v>3560</v>
      </c>
      <c r="J276" s="3066" t="s">
        <v>3560</v>
      </c>
      <c r="K276" s="3066" t="s">
        <v>3560</v>
      </c>
      <c r="L276" s="3066" t="s">
        <v>3560</v>
      </c>
      <c r="M276" s="3066" t="s">
        <v>4571</v>
      </c>
      <c r="N276" s="3066">
        <v>37.6</v>
      </c>
      <c r="O276" s="3066" t="s">
        <v>3560</v>
      </c>
      <c r="P276" s="3066" t="s">
        <v>3560</v>
      </c>
      <c r="Q276" s="3066">
        <v>0</v>
      </c>
      <c r="R276" s="3066">
        <v>0</v>
      </c>
      <c r="S276" s="3066" t="s">
        <v>3577</v>
      </c>
      <c r="T276" s="3066">
        <v>0</v>
      </c>
      <c r="U276" s="3066">
        <v>0</v>
      </c>
      <c r="V276" s="3066" t="s">
        <v>3560</v>
      </c>
      <c r="W276" s="3066" t="s">
        <v>3568</v>
      </c>
      <c r="X276" s="3066">
        <v>0</v>
      </c>
      <c r="Y276" s="3066">
        <v>0</v>
      </c>
      <c r="Z276" s="3066" t="s">
        <v>3568</v>
      </c>
      <c r="AA276" s="3066" t="s">
        <v>3560</v>
      </c>
      <c r="AB276" s="3066" t="s">
        <v>3560</v>
      </c>
      <c r="AC276" s="3066" t="s">
        <v>3560</v>
      </c>
      <c r="AD276" s="3066" t="s">
        <v>3560</v>
      </c>
      <c r="AE276" s="3066" t="s">
        <v>3560</v>
      </c>
      <c r="AF276" s="3067">
        <v>0</v>
      </c>
      <c r="AG276" s="3066">
        <v>0</v>
      </c>
      <c r="AH276" s="3066">
        <v>0</v>
      </c>
      <c r="AI276" s="3066">
        <v>0</v>
      </c>
      <c r="AJ276" s="3066">
        <v>0</v>
      </c>
      <c r="AK276" s="3066">
        <v>0</v>
      </c>
      <c r="AL276" s="3066">
        <v>0</v>
      </c>
      <c r="AM276" s="3066">
        <v>0</v>
      </c>
      <c r="AN276" s="3066" t="s">
        <v>3560</v>
      </c>
      <c r="AP276" s="3068">
        <f t="shared" si="4"/>
        <v>0</v>
      </c>
    </row>
    <row r="277" spans="2:42" ht="27" customHeight="1">
      <c r="B277" s="3066">
        <v>285</v>
      </c>
      <c r="C277" s="3066" t="s">
        <v>3147</v>
      </c>
      <c r="D277" s="3066" t="s">
        <v>4053</v>
      </c>
      <c r="E277" s="3066" t="s">
        <v>4572</v>
      </c>
      <c r="F277" s="3066" t="s">
        <v>3917</v>
      </c>
      <c r="G277" s="3066" t="s">
        <v>1373</v>
      </c>
      <c r="H277" s="3066" t="s">
        <v>3560</v>
      </c>
      <c r="I277" s="3066" t="s">
        <v>4573</v>
      </c>
      <c r="J277" s="3066" t="s">
        <v>3560</v>
      </c>
      <c r="K277" s="3066" t="s">
        <v>3560</v>
      </c>
      <c r="L277" s="3066" t="s">
        <v>4574</v>
      </c>
      <c r="M277" s="3066" t="s">
        <v>4575</v>
      </c>
      <c r="N277" s="3066">
        <v>42.6</v>
      </c>
      <c r="O277" s="3066" t="s">
        <v>3619</v>
      </c>
      <c r="P277" s="3066" t="s">
        <v>3566</v>
      </c>
      <c r="Q277" s="3066">
        <v>1</v>
      </c>
      <c r="R277" s="3066">
        <v>1370</v>
      </c>
      <c r="S277" s="3066" t="s">
        <v>3567</v>
      </c>
      <c r="T277" s="3066">
        <v>19</v>
      </c>
      <c r="U277" s="3066">
        <v>809.4</v>
      </c>
      <c r="V277" s="3066" t="s">
        <v>3560</v>
      </c>
      <c r="W277" s="3066" t="s">
        <v>3568</v>
      </c>
      <c r="X277" s="3066">
        <v>2.23</v>
      </c>
      <c r="Y277" s="3066">
        <v>1142.4000000000001</v>
      </c>
      <c r="Z277" s="3066" t="s">
        <v>3568</v>
      </c>
      <c r="AA277" s="3066" t="s">
        <v>3560</v>
      </c>
      <c r="AB277" s="3066" t="s">
        <v>3584</v>
      </c>
      <c r="AC277" s="3066" t="s">
        <v>3584</v>
      </c>
      <c r="AD277" s="3066" t="s">
        <v>3584</v>
      </c>
      <c r="AE277" s="3066" t="s">
        <v>3560</v>
      </c>
      <c r="AF277" s="3067">
        <v>809.4</v>
      </c>
      <c r="AG277" s="3066">
        <v>809.4</v>
      </c>
      <c r="AH277" s="3066">
        <v>95.2</v>
      </c>
      <c r="AI277" s="3066">
        <v>95.2</v>
      </c>
      <c r="AJ277" s="3066">
        <v>56.53</v>
      </c>
      <c r="AK277" s="3066">
        <v>56.53</v>
      </c>
      <c r="AL277" s="3066">
        <v>961.13</v>
      </c>
      <c r="AM277" s="3066">
        <v>961.13</v>
      </c>
      <c r="AN277" s="3066" t="s">
        <v>3560</v>
      </c>
      <c r="AP277" s="3068">
        <f t="shared" si="4"/>
        <v>19</v>
      </c>
    </row>
    <row r="278" spans="2:42" ht="27" customHeight="1">
      <c r="B278" s="3066">
        <v>286</v>
      </c>
      <c r="C278" s="3066" t="s">
        <v>3147</v>
      </c>
      <c r="D278" s="3066" t="s">
        <v>3915</v>
      </c>
      <c r="E278" s="3066" t="s">
        <v>4576</v>
      </c>
      <c r="F278" s="3066" t="s">
        <v>3917</v>
      </c>
      <c r="G278" s="3066" t="s">
        <v>1373</v>
      </c>
      <c r="H278" s="3066" t="s">
        <v>3560</v>
      </c>
      <c r="I278" s="3066" t="s">
        <v>3637</v>
      </c>
      <c r="J278" s="3066" t="s">
        <v>3638</v>
      </c>
      <c r="K278" s="3066" t="s">
        <v>3560</v>
      </c>
      <c r="L278" s="3066" t="s">
        <v>3639</v>
      </c>
      <c r="M278" s="3066" t="s">
        <v>4577</v>
      </c>
      <c r="N278" s="3066">
        <v>381</v>
      </c>
      <c r="O278" s="3066" t="s">
        <v>3583</v>
      </c>
      <c r="P278" s="3066" t="s">
        <v>3566</v>
      </c>
      <c r="Q278" s="3066">
        <v>0</v>
      </c>
      <c r="R278" s="3066">
        <v>7643</v>
      </c>
      <c r="S278" s="3066" t="s">
        <v>3567</v>
      </c>
      <c r="T278" s="3066">
        <v>18</v>
      </c>
      <c r="U278" s="3066">
        <v>6858</v>
      </c>
      <c r="V278" s="3066" t="s">
        <v>3560</v>
      </c>
      <c r="W278" s="3066" t="s">
        <v>3568</v>
      </c>
      <c r="X278" s="3066">
        <v>2</v>
      </c>
      <c r="Y278" s="3066">
        <v>9144</v>
      </c>
      <c r="Z278" s="3066" t="s">
        <v>3568</v>
      </c>
      <c r="AA278" s="3066" t="s">
        <v>3560</v>
      </c>
      <c r="AB278" s="3066" t="s">
        <v>3584</v>
      </c>
      <c r="AC278" s="3066" t="s">
        <v>3584</v>
      </c>
      <c r="AD278" s="3066" t="s">
        <v>3584</v>
      </c>
      <c r="AE278" s="3066" t="s">
        <v>3560</v>
      </c>
      <c r="AF278" s="3067">
        <v>6858</v>
      </c>
      <c r="AG278" s="3066">
        <v>0</v>
      </c>
      <c r="AH278" s="3066">
        <v>762</v>
      </c>
      <c r="AI278" s="3066">
        <v>0</v>
      </c>
      <c r="AJ278" s="3066">
        <v>1034.7</v>
      </c>
      <c r="AK278" s="3066">
        <v>0</v>
      </c>
      <c r="AL278" s="3066">
        <v>8654.7000000000007</v>
      </c>
      <c r="AM278" s="3066">
        <v>0</v>
      </c>
      <c r="AN278" s="3066" t="s">
        <v>3560</v>
      </c>
      <c r="AP278" s="3068">
        <f t="shared" si="4"/>
        <v>18</v>
      </c>
    </row>
    <row r="279" spans="2:42" ht="27" customHeight="1">
      <c r="B279" s="3066">
        <v>287</v>
      </c>
      <c r="C279" s="3066" t="s">
        <v>3147</v>
      </c>
      <c r="D279" s="3066" t="s">
        <v>3926</v>
      </c>
      <c r="E279" s="3066" t="s">
        <v>4578</v>
      </c>
      <c r="F279" s="3066" t="s">
        <v>3917</v>
      </c>
      <c r="G279" s="3066" t="s">
        <v>1373</v>
      </c>
      <c r="H279" s="3066" t="s">
        <v>3560</v>
      </c>
      <c r="I279" s="3066" t="s">
        <v>4579</v>
      </c>
      <c r="J279" s="3066" t="s">
        <v>3560</v>
      </c>
      <c r="K279" s="3066" t="s">
        <v>3560</v>
      </c>
      <c r="L279" s="3066" t="s">
        <v>4580</v>
      </c>
      <c r="M279" s="3066" t="s">
        <v>4581</v>
      </c>
      <c r="N279" s="3066">
        <v>37.6</v>
      </c>
      <c r="O279" s="3066" t="s">
        <v>3619</v>
      </c>
      <c r="P279" s="3066" t="s">
        <v>3566</v>
      </c>
      <c r="Q279" s="3066">
        <v>1</v>
      </c>
      <c r="R279" s="3066">
        <v>4121</v>
      </c>
      <c r="S279" s="3066" t="s">
        <v>3567</v>
      </c>
      <c r="T279" s="3066">
        <v>19</v>
      </c>
      <c r="U279" s="3066">
        <v>714.4</v>
      </c>
      <c r="V279" s="3066" t="s">
        <v>3560</v>
      </c>
      <c r="W279" s="3066" t="s">
        <v>3568</v>
      </c>
      <c r="X279" s="3066">
        <v>2.27</v>
      </c>
      <c r="Y279" s="3066">
        <v>1022.4</v>
      </c>
      <c r="Z279" s="3066" t="s">
        <v>3568</v>
      </c>
      <c r="AA279" s="3066" t="s">
        <v>3560</v>
      </c>
      <c r="AB279" s="3066" t="s">
        <v>3584</v>
      </c>
      <c r="AC279" s="3066" t="s">
        <v>3584</v>
      </c>
      <c r="AD279" s="3066" t="s">
        <v>3584</v>
      </c>
      <c r="AE279" s="3066" t="s">
        <v>3560</v>
      </c>
      <c r="AF279" s="3067">
        <v>714.4</v>
      </c>
      <c r="AG279" s="3066">
        <v>0</v>
      </c>
      <c r="AH279" s="3066">
        <v>85.2</v>
      </c>
      <c r="AI279" s="3066">
        <v>0</v>
      </c>
      <c r="AJ279" s="3066">
        <v>172.65</v>
      </c>
      <c r="AK279" s="3066">
        <v>0</v>
      </c>
      <c r="AL279" s="3066">
        <v>972.25</v>
      </c>
      <c r="AM279" s="3066">
        <v>0</v>
      </c>
      <c r="AN279" s="3066" t="s">
        <v>3560</v>
      </c>
      <c r="AP279" s="3068">
        <f t="shared" si="4"/>
        <v>19</v>
      </c>
    </row>
    <row r="280" spans="2:42" ht="27" customHeight="1">
      <c r="B280" s="3066">
        <v>288</v>
      </c>
      <c r="C280" s="3066" t="s">
        <v>3147</v>
      </c>
      <c r="D280" s="3066" t="s">
        <v>3926</v>
      </c>
      <c r="E280" s="3066" t="s">
        <v>4582</v>
      </c>
      <c r="F280" s="3066" t="s">
        <v>3917</v>
      </c>
      <c r="G280" s="3066" t="s">
        <v>1373</v>
      </c>
      <c r="H280" s="3066" t="s">
        <v>3560</v>
      </c>
      <c r="I280" s="3066" t="s">
        <v>3637</v>
      </c>
      <c r="J280" s="3066" t="s">
        <v>3638</v>
      </c>
      <c r="K280" s="3066" t="s">
        <v>3560</v>
      </c>
      <c r="L280" s="3066" t="s">
        <v>3639</v>
      </c>
      <c r="M280" s="3066" t="s">
        <v>4583</v>
      </c>
      <c r="N280" s="3066">
        <v>37.6</v>
      </c>
      <c r="O280" s="3066" t="s">
        <v>3583</v>
      </c>
      <c r="P280" s="3066" t="s">
        <v>3566</v>
      </c>
      <c r="Q280" s="3066">
        <v>0</v>
      </c>
      <c r="R280" s="3066">
        <v>0</v>
      </c>
      <c r="S280" s="3066" t="s">
        <v>3577</v>
      </c>
      <c r="T280" s="3066">
        <v>18</v>
      </c>
      <c r="U280" s="3066">
        <v>676.8</v>
      </c>
      <c r="V280" s="3066" t="s">
        <v>3560</v>
      </c>
      <c r="W280" s="3066" t="s">
        <v>3568</v>
      </c>
      <c r="X280" s="3066">
        <v>2</v>
      </c>
      <c r="Y280" s="3066">
        <v>902.4</v>
      </c>
      <c r="Z280" s="3066" t="s">
        <v>3568</v>
      </c>
      <c r="AA280" s="3066" t="s">
        <v>3560</v>
      </c>
      <c r="AB280" s="3066" t="s">
        <v>3584</v>
      </c>
      <c r="AC280" s="3066" t="s">
        <v>3584</v>
      </c>
      <c r="AD280" s="3066" t="s">
        <v>3584</v>
      </c>
      <c r="AE280" s="3066" t="s">
        <v>3560</v>
      </c>
      <c r="AF280" s="3067">
        <v>676.8</v>
      </c>
      <c r="AG280" s="3066">
        <v>0</v>
      </c>
      <c r="AH280" s="3066">
        <v>75.2</v>
      </c>
      <c r="AI280" s="3066">
        <v>0</v>
      </c>
      <c r="AJ280" s="3066">
        <v>48.2</v>
      </c>
      <c r="AK280" s="3066">
        <v>0</v>
      </c>
      <c r="AL280" s="3066">
        <v>800.2</v>
      </c>
      <c r="AM280" s="3066">
        <v>0</v>
      </c>
      <c r="AN280" s="3066" t="s">
        <v>3560</v>
      </c>
      <c r="AP280" s="3068">
        <f t="shared" si="4"/>
        <v>17.999999999999996</v>
      </c>
    </row>
    <row r="281" spans="2:42" ht="27" customHeight="1">
      <c r="B281" s="3066">
        <v>289</v>
      </c>
      <c r="C281" s="3066" t="s">
        <v>3147</v>
      </c>
      <c r="D281" s="3066" t="s">
        <v>3926</v>
      </c>
      <c r="E281" s="3066" t="s">
        <v>4584</v>
      </c>
      <c r="F281" s="3066" t="s">
        <v>3917</v>
      </c>
      <c r="G281" s="3066" t="s">
        <v>1373</v>
      </c>
      <c r="H281" s="3066" t="s">
        <v>3560</v>
      </c>
      <c r="I281" s="3066" t="s">
        <v>4585</v>
      </c>
      <c r="J281" s="3066" t="s">
        <v>3560</v>
      </c>
      <c r="K281" s="3066" t="s">
        <v>3560</v>
      </c>
      <c r="L281" s="3066" t="s">
        <v>4586</v>
      </c>
      <c r="M281" s="3066" t="s">
        <v>4587</v>
      </c>
      <c r="N281" s="3066">
        <v>37.6</v>
      </c>
      <c r="O281" s="3066" t="s">
        <v>3619</v>
      </c>
      <c r="P281" s="3066" t="s">
        <v>3745</v>
      </c>
      <c r="Q281" s="3066">
        <v>1</v>
      </c>
      <c r="R281" s="3066">
        <v>2060</v>
      </c>
      <c r="S281" s="3066" t="s">
        <v>3567</v>
      </c>
      <c r="T281" s="3066">
        <v>19</v>
      </c>
      <c r="U281" s="3066">
        <v>714.4</v>
      </c>
      <c r="V281" s="3066" t="s">
        <v>3560</v>
      </c>
      <c r="W281" s="3066" t="s">
        <v>3568</v>
      </c>
      <c r="X281" s="3066">
        <v>2.27</v>
      </c>
      <c r="Y281" s="3066">
        <v>1022.4</v>
      </c>
      <c r="Z281" s="3066" t="s">
        <v>3568</v>
      </c>
      <c r="AA281" s="3066" t="s">
        <v>3560</v>
      </c>
      <c r="AB281" s="3066" t="s">
        <v>3584</v>
      </c>
      <c r="AC281" s="3066" t="s">
        <v>3584</v>
      </c>
      <c r="AD281" s="3066" t="s">
        <v>3584</v>
      </c>
      <c r="AE281" s="3066" t="s">
        <v>3560</v>
      </c>
      <c r="AF281" s="3067">
        <v>714.4</v>
      </c>
      <c r="AG281" s="3066">
        <v>0</v>
      </c>
      <c r="AH281" s="3066">
        <v>85.2</v>
      </c>
      <c r="AI281" s="3066">
        <v>0</v>
      </c>
      <c r="AJ281" s="3066">
        <v>20.22</v>
      </c>
      <c r="AK281" s="3066">
        <v>0</v>
      </c>
      <c r="AL281" s="3066">
        <v>819.82</v>
      </c>
      <c r="AM281" s="3066">
        <v>0</v>
      </c>
      <c r="AN281" s="3066" t="s">
        <v>3560</v>
      </c>
      <c r="AP281" s="3068">
        <f t="shared" si="4"/>
        <v>19</v>
      </c>
    </row>
    <row r="282" spans="2:42" ht="27" customHeight="1">
      <c r="B282" s="3066">
        <v>290</v>
      </c>
      <c r="C282" s="3066" t="s">
        <v>3147</v>
      </c>
      <c r="D282" s="3066" t="s">
        <v>3926</v>
      </c>
      <c r="E282" s="3066" t="s">
        <v>4588</v>
      </c>
      <c r="F282" s="3066" t="s">
        <v>3917</v>
      </c>
      <c r="G282" s="3066" t="s">
        <v>1373</v>
      </c>
      <c r="H282" s="3066" t="s">
        <v>3560</v>
      </c>
      <c r="I282" s="3066" t="s">
        <v>4579</v>
      </c>
      <c r="J282" s="3066" t="s">
        <v>3560</v>
      </c>
      <c r="K282" s="3066" t="s">
        <v>3560</v>
      </c>
      <c r="L282" s="3066" t="s">
        <v>4580</v>
      </c>
      <c r="M282" s="3066" t="s">
        <v>4589</v>
      </c>
      <c r="N282" s="3066">
        <v>37.6</v>
      </c>
      <c r="O282" s="3066" t="s">
        <v>3619</v>
      </c>
      <c r="P282" s="3066" t="s">
        <v>3566</v>
      </c>
      <c r="Q282" s="3066">
        <v>1</v>
      </c>
      <c r="R282" s="3066">
        <v>0</v>
      </c>
      <c r="S282" s="3066" t="s">
        <v>3577</v>
      </c>
      <c r="T282" s="3066">
        <v>19</v>
      </c>
      <c r="U282" s="3066">
        <v>714.4</v>
      </c>
      <c r="V282" s="3066" t="s">
        <v>3560</v>
      </c>
      <c r="W282" s="3066" t="s">
        <v>3568</v>
      </c>
      <c r="X282" s="3066">
        <v>2.27</v>
      </c>
      <c r="Y282" s="3066">
        <v>1022.4</v>
      </c>
      <c r="Z282" s="3066" t="s">
        <v>3568</v>
      </c>
      <c r="AA282" s="3066" t="s">
        <v>3560</v>
      </c>
      <c r="AB282" s="3066" t="s">
        <v>3584</v>
      </c>
      <c r="AC282" s="3066" t="s">
        <v>3584</v>
      </c>
      <c r="AD282" s="3066" t="s">
        <v>3584</v>
      </c>
      <c r="AE282" s="3066" t="s">
        <v>3560</v>
      </c>
      <c r="AF282" s="3067">
        <v>714.4</v>
      </c>
      <c r="AG282" s="3066">
        <v>0</v>
      </c>
      <c r="AH282" s="3066">
        <v>85.2</v>
      </c>
      <c r="AI282" s="3066">
        <v>0</v>
      </c>
      <c r="AJ282" s="3066">
        <v>69.86</v>
      </c>
      <c r="AK282" s="3066">
        <v>0</v>
      </c>
      <c r="AL282" s="3066">
        <v>869.46</v>
      </c>
      <c r="AM282" s="3066">
        <v>0</v>
      </c>
      <c r="AN282" s="3066" t="s">
        <v>3560</v>
      </c>
      <c r="AP282" s="3068">
        <f t="shared" si="4"/>
        <v>19</v>
      </c>
    </row>
    <row r="283" spans="2:42" ht="27" customHeight="1">
      <c r="B283" s="3066">
        <v>291</v>
      </c>
      <c r="C283" s="3066" t="s">
        <v>3147</v>
      </c>
      <c r="D283" s="3066" t="s">
        <v>3926</v>
      </c>
      <c r="E283" s="3066" t="s">
        <v>4590</v>
      </c>
      <c r="F283" s="3066" t="s">
        <v>3917</v>
      </c>
      <c r="G283" s="3066" t="s">
        <v>1373</v>
      </c>
      <c r="H283" s="3066" t="s">
        <v>3560</v>
      </c>
      <c r="I283" s="3066" t="s">
        <v>4591</v>
      </c>
      <c r="J283" s="3066" t="s">
        <v>3560</v>
      </c>
      <c r="K283" s="3066" t="s">
        <v>3560</v>
      </c>
      <c r="L283" s="3066" t="s">
        <v>4592</v>
      </c>
      <c r="M283" s="3066" t="s">
        <v>4593</v>
      </c>
      <c r="N283" s="3066">
        <v>37.6</v>
      </c>
      <c r="O283" s="3066" t="s">
        <v>3676</v>
      </c>
      <c r="P283" s="3066" t="s">
        <v>3745</v>
      </c>
      <c r="Q283" s="3066">
        <v>1</v>
      </c>
      <c r="R283" s="3066">
        <v>11786</v>
      </c>
      <c r="S283" s="3066" t="s">
        <v>3567</v>
      </c>
      <c r="T283" s="3066">
        <v>18</v>
      </c>
      <c r="U283" s="3066">
        <v>676.8</v>
      </c>
      <c r="V283" s="3066" t="s">
        <v>3560</v>
      </c>
      <c r="W283" s="3066" t="s">
        <v>3568</v>
      </c>
      <c r="X283" s="3066">
        <v>2.27</v>
      </c>
      <c r="Y283" s="3066">
        <v>1022.4</v>
      </c>
      <c r="Z283" s="3066" t="s">
        <v>3568</v>
      </c>
      <c r="AA283" s="3066" t="s">
        <v>3560</v>
      </c>
      <c r="AB283" s="3066" t="s">
        <v>3677</v>
      </c>
      <c r="AC283" s="3066" t="s">
        <v>3677</v>
      </c>
      <c r="AD283" s="3066" t="s">
        <v>3677</v>
      </c>
      <c r="AE283" s="3066" t="s">
        <v>3560</v>
      </c>
      <c r="AF283" s="3067">
        <v>676.8</v>
      </c>
      <c r="AG283" s="3066">
        <v>676.8</v>
      </c>
      <c r="AH283" s="3066">
        <v>85.2</v>
      </c>
      <c r="AI283" s="3066">
        <v>85.2</v>
      </c>
      <c r="AJ283" s="3066">
        <v>15.47</v>
      </c>
      <c r="AK283" s="3066">
        <v>15.47</v>
      </c>
      <c r="AL283" s="3066">
        <v>777.47</v>
      </c>
      <c r="AM283" s="3066">
        <v>777.47</v>
      </c>
      <c r="AN283" s="3066" t="s">
        <v>3560</v>
      </c>
      <c r="AP283" s="3068">
        <f t="shared" si="4"/>
        <v>17.999999999999996</v>
      </c>
    </row>
    <row r="284" spans="2:42" ht="27" customHeight="1">
      <c r="B284" s="3066">
        <v>292</v>
      </c>
      <c r="C284" s="3066" t="s">
        <v>3147</v>
      </c>
      <c r="D284" s="3066" t="s">
        <v>3926</v>
      </c>
      <c r="E284" s="3066" t="s">
        <v>4594</v>
      </c>
      <c r="F284" s="3066" t="s">
        <v>3917</v>
      </c>
      <c r="G284" s="3066" t="s">
        <v>1373</v>
      </c>
      <c r="H284" s="3066" t="s">
        <v>3560</v>
      </c>
      <c r="I284" s="3066" t="s">
        <v>4595</v>
      </c>
      <c r="J284" s="3066" t="s">
        <v>3560</v>
      </c>
      <c r="K284" s="3066" t="s">
        <v>3560</v>
      </c>
      <c r="L284" s="3066" t="s">
        <v>4596</v>
      </c>
      <c r="M284" s="3066" t="s">
        <v>4597</v>
      </c>
      <c r="N284" s="3066">
        <v>37.6</v>
      </c>
      <c r="O284" s="3066" t="s">
        <v>4488</v>
      </c>
      <c r="P284" s="3066" t="s">
        <v>3566</v>
      </c>
      <c r="Q284" s="3066">
        <v>1</v>
      </c>
      <c r="R284" s="3066">
        <v>3434</v>
      </c>
      <c r="S284" s="3066" t="s">
        <v>3567</v>
      </c>
      <c r="T284" s="3066">
        <v>18</v>
      </c>
      <c r="U284" s="3066">
        <v>676.8</v>
      </c>
      <c r="V284" s="3066" t="s">
        <v>3560</v>
      </c>
      <c r="W284" s="3066" t="s">
        <v>3568</v>
      </c>
      <c r="X284" s="3066">
        <v>2.27</v>
      </c>
      <c r="Y284" s="3066">
        <v>1022.4</v>
      </c>
      <c r="Z284" s="3066" t="s">
        <v>3568</v>
      </c>
      <c r="AA284" s="3066" t="s">
        <v>3560</v>
      </c>
      <c r="AB284" s="3066" t="s">
        <v>4489</v>
      </c>
      <c r="AC284" s="3066" t="s">
        <v>4489</v>
      </c>
      <c r="AD284" s="3066" t="s">
        <v>4489</v>
      </c>
      <c r="AE284" s="3066" t="s">
        <v>3560</v>
      </c>
      <c r="AF284" s="3067">
        <v>0</v>
      </c>
      <c r="AG284" s="3066">
        <v>0</v>
      </c>
      <c r="AH284" s="3066">
        <v>0</v>
      </c>
      <c r="AI284" s="3066">
        <v>0</v>
      </c>
      <c r="AJ284" s="3066">
        <v>45.13</v>
      </c>
      <c r="AK284" s="3066">
        <v>0</v>
      </c>
      <c r="AL284" s="3066">
        <v>45.13</v>
      </c>
      <c r="AM284" s="3066">
        <v>0</v>
      </c>
      <c r="AN284" s="3066" t="s">
        <v>3560</v>
      </c>
      <c r="AP284" s="3068">
        <f t="shared" si="4"/>
        <v>0</v>
      </c>
    </row>
    <row r="285" spans="2:42" ht="27" customHeight="1">
      <c r="B285" s="3066">
        <v>293</v>
      </c>
      <c r="C285" s="3066" t="s">
        <v>3147</v>
      </c>
      <c r="D285" s="3066" t="s">
        <v>3926</v>
      </c>
      <c r="E285" s="3066" t="s">
        <v>4598</v>
      </c>
      <c r="F285" s="3066" t="s">
        <v>3917</v>
      </c>
      <c r="G285" s="3066" t="s">
        <v>3560</v>
      </c>
      <c r="H285" s="3066" t="s">
        <v>3560</v>
      </c>
      <c r="I285" s="3066" t="s">
        <v>3560</v>
      </c>
      <c r="J285" s="3066" t="s">
        <v>3560</v>
      </c>
      <c r="K285" s="3066" t="s">
        <v>3560</v>
      </c>
      <c r="L285" s="3066" t="s">
        <v>3560</v>
      </c>
      <c r="M285" s="3066" t="s">
        <v>4599</v>
      </c>
      <c r="N285" s="3066">
        <v>37.6</v>
      </c>
      <c r="O285" s="3066" t="s">
        <v>3560</v>
      </c>
      <c r="P285" s="3066" t="s">
        <v>3560</v>
      </c>
      <c r="Q285" s="3066">
        <v>0</v>
      </c>
      <c r="R285" s="3066">
        <v>0</v>
      </c>
      <c r="S285" s="3066" t="s">
        <v>3577</v>
      </c>
      <c r="T285" s="3066">
        <v>0</v>
      </c>
      <c r="U285" s="3066">
        <v>0</v>
      </c>
      <c r="V285" s="3066" t="s">
        <v>3560</v>
      </c>
      <c r="W285" s="3066" t="s">
        <v>3568</v>
      </c>
      <c r="X285" s="3066">
        <v>0</v>
      </c>
      <c r="Y285" s="3066">
        <v>0</v>
      </c>
      <c r="Z285" s="3066" t="s">
        <v>3568</v>
      </c>
      <c r="AA285" s="3066" t="s">
        <v>3560</v>
      </c>
      <c r="AB285" s="3066" t="s">
        <v>3560</v>
      </c>
      <c r="AC285" s="3066" t="s">
        <v>3560</v>
      </c>
      <c r="AD285" s="3066" t="s">
        <v>3560</v>
      </c>
      <c r="AE285" s="3066" t="s">
        <v>3560</v>
      </c>
      <c r="AF285" s="3067">
        <v>0</v>
      </c>
      <c r="AG285" s="3066">
        <v>0</v>
      </c>
      <c r="AH285" s="3066">
        <v>0</v>
      </c>
      <c r="AI285" s="3066">
        <v>0</v>
      </c>
      <c r="AJ285" s="3066">
        <v>0</v>
      </c>
      <c r="AK285" s="3066">
        <v>0</v>
      </c>
      <c r="AL285" s="3066">
        <v>0</v>
      </c>
      <c r="AM285" s="3066">
        <v>0</v>
      </c>
      <c r="AN285" s="3066" t="s">
        <v>3560</v>
      </c>
      <c r="AP285" s="3068">
        <f t="shared" si="4"/>
        <v>0</v>
      </c>
    </row>
    <row r="286" spans="2:42" ht="27" customHeight="1">
      <c r="B286" s="3066">
        <v>294</v>
      </c>
      <c r="C286" s="3066" t="s">
        <v>3147</v>
      </c>
      <c r="D286" s="3066" t="s">
        <v>3926</v>
      </c>
      <c r="E286" s="3066" t="s">
        <v>4600</v>
      </c>
      <c r="F286" s="3066" t="s">
        <v>3917</v>
      </c>
      <c r="G286" s="3066" t="s">
        <v>1373</v>
      </c>
      <c r="H286" s="3066" t="s">
        <v>3560</v>
      </c>
      <c r="I286" s="3066" t="s">
        <v>4601</v>
      </c>
      <c r="J286" s="3066" t="s">
        <v>3560</v>
      </c>
      <c r="K286" s="3066" t="s">
        <v>3560</v>
      </c>
      <c r="L286" s="3066" t="s">
        <v>4602</v>
      </c>
      <c r="M286" s="3066" t="s">
        <v>4603</v>
      </c>
      <c r="N286" s="3066">
        <v>37.6</v>
      </c>
      <c r="O286" s="3066" t="s">
        <v>3619</v>
      </c>
      <c r="P286" s="3066" t="s">
        <v>3566</v>
      </c>
      <c r="Q286" s="3066">
        <v>1</v>
      </c>
      <c r="R286" s="3066">
        <v>3434</v>
      </c>
      <c r="S286" s="3066" t="s">
        <v>3567</v>
      </c>
      <c r="T286" s="3066">
        <v>19</v>
      </c>
      <c r="U286" s="3066">
        <v>714.4</v>
      </c>
      <c r="V286" s="3066" t="s">
        <v>3560</v>
      </c>
      <c r="W286" s="3066" t="s">
        <v>3568</v>
      </c>
      <c r="X286" s="3066">
        <v>2.27</v>
      </c>
      <c r="Y286" s="3066">
        <v>1022.4</v>
      </c>
      <c r="Z286" s="3066" t="s">
        <v>3568</v>
      </c>
      <c r="AA286" s="3066" t="s">
        <v>3560</v>
      </c>
      <c r="AB286" s="3066" t="s">
        <v>3584</v>
      </c>
      <c r="AC286" s="3066" t="s">
        <v>3584</v>
      </c>
      <c r="AD286" s="3066" t="s">
        <v>3584</v>
      </c>
      <c r="AE286" s="3066" t="s">
        <v>3560</v>
      </c>
      <c r="AF286" s="3067">
        <v>714.4</v>
      </c>
      <c r="AG286" s="3066">
        <v>0</v>
      </c>
      <c r="AH286" s="3066">
        <v>85.2</v>
      </c>
      <c r="AI286" s="3066">
        <v>0</v>
      </c>
      <c r="AJ286" s="3066">
        <v>81.59</v>
      </c>
      <c r="AK286" s="3066">
        <v>0</v>
      </c>
      <c r="AL286" s="3066">
        <v>881.19</v>
      </c>
      <c r="AM286" s="3066">
        <v>0</v>
      </c>
      <c r="AN286" s="3066" t="s">
        <v>3560</v>
      </c>
      <c r="AP286" s="3068">
        <f t="shared" si="4"/>
        <v>19</v>
      </c>
    </row>
    <row r="287" spans="2:42" ht="27" customHeight="1">
      <c r="B287" s="3066">
        <v>295</v>
      </c>
      <c r="C287" s="3066" t="s">
        <v>3147</v>
      </c>
      <c r="D287" s="3066" t="s">
        <v>3926</v>
      </c>
      <c r="E287" s="3066" t="s">
        <v>4604</v>
      </c>
      <c r="F287" s="3066" t="s">
        <v>3917</v>
      </c>
      <c r="G287" s="3066" t="s">
        <v>3560</v>
      </c>
      <c r="H287" s="3066" t="s">
        <v>3560</v>
      </c>
      <c r="I287" s="3066" t="s">
        <v>3560</v>
      </c>
      <c r="J287" s="3066" t="s">
        <v>3560</v>
      </c>
      <c r="K287" s="3066" t="s">
        <v>3560</v>
      </c>
      <c r="L287" s="3066" t="s">
        <v>3560</v>
      </c>
      <c r="M287" s="3066" t="s">
        <v>4605</v>
      </c>
      <c r="N287" s="3066">
        <v>37.6</v>
      </c>
      <c r="O287" s="3066" t="s">
        <v>3560</v>
      </c>
      <c r="P287" s="3066" t="s">
        <v>3560</v>
      </c>
      <c r="Q287" s="3066">
        <v>0</v>
      </c>
      <c r="R287" s="3066">
        <v>0</v>
      </c>
      <c r="S287" s="3066" t="s">
        <v>3577</v>
      </c>
      <c r="T287" s="3066">
        <v>0</v>
      </c>
      <c r="U287" s="3066">
        <v>0</v>
      </c>
      <c r="V287" s="3066" t="s">
        <v>3560</v>
      </c>
      <c r="W287" s="3066" t="s">
        <v>3568</v>
      </c>
      <c r="X287" s="3066">
        <v>0</v>
      </c>
      <c r="Y287" s="3066">
        <v>0</v>
      </c>
      <c r="Z287" s="3066" t="s">
        <v>3568</v>
      </c>
      <c r="AA287" s="3066" t="s">
        <v>3560</v>
      </c>
      <c r="AB287" s="3066" t="s">
        <v>3560</v>
      </c>
      <c r="AC287" s="3066" t="s">
        <v>3560</v>
      </c>
      <c r="AD287" s="3066" t="s">
        <v>3560</v>
      </c>
      <c r="AE287" s="3066" t="s">
        <v>3560</v>
      </c>
      <c r="AF287" s="3067">
        <v>0</v>
      </c>
      <c r="AG287" s="3066">
        <v>0</v>
      </c>
      <c r="AH287" s="3066">
        <v>0</v>
      </c>
      <c r="AI287" s="3066">
        <v>0</v>
      </c>
      <c r="AJ287" s="3066">
        <v>0</v>
      </c>
      <c r="AK287" s="3066">
        <v>0</v>
      </c>
      <c r="AL287" s="3066">
        <v>0</v>
      </c>
      <c r="AM287" s="3066">
        <v>0</v>
      </c>
      <c r="AN287" s="3066" t="s">
        <v>3560</v>
      </c>
      <c r="AP287" s="3068">
        <f t="shared" si="4"/>
        <v>0</v>
      </c>
    </row>
    <row r="288" spans="2:42" ht="27" customHeight="1">
      <c r="B288" s="3066">
        <v>296</v>
      </c>
      <c r="C288" s="3066" t="s">
        <v>3147</v>
      </c>
      <c r="D288" s="3066" t="s">
        <v>3926</v>
      </c>
      <c r="E288" s="3066" t="s">
        <v>4606</v>
      </c>
      <c r="F288" s="3066" t="s">
        <v>3917</v>
      </c>
      <c r="G288" s="3066" t="s">
        <v>4607</v>
      </c>
      <c r="H288" s="3066" t="s">
        <v>3560</v>
      </c>
      <c r="I288" s="3066" t="s">
        <v>4608</v>
      </c>
      <c r="J288" s="3066" t="s">
        <v>4608</v>
      </c>
      <c r="K288" s="3066" t="s">
        <v>3560</v>
      </c>
      <c r="L288" s="3066" t="s">
        <v>4609</v>
      </c>
      <c r="M288" s="3066" t="s">
        <v>4610</v>
      </c>
      <c r="N288" s="3066">
        <v>42.6</v>
      </c>
      <c r="O288" s="3066" t="s">
        <v>4428</v>
      </c>
      <c r="P288" s="3066" t="s">
        <v>3566</v>
      </c>
      <c r="Q288" s="3066">
        <v>1</v>
      </c>
      <c r="R288" s="3066">
        <v>3884</v>
      </c>
      <c r="S288" s="3066" t="s">
        <v>3567</v>
      </c>
      <c r="T288" s="3066">
        <v>18</v>
      </c>
      <c r="U288" s="3066">
        <v>766.8</v>
      </c>
      <c r="V288" s="3066" t="s">
        <v>3560</v>
      </c>
      <c r="W288" s="3066" t="s">
        <v>3568</v>
      </c>
      <c r="X288" s="3066">
        <v>2.23</v>
      </c>
      <c r="Y288" s="3066">
        <v>1142.4000000000001</v>
      </c>
      <c r="Z288" s="3066" t="s">
        <v>3568</v>
      </c>
      <c r="AA288" s="3066" t="s">
        <v>3560</v>
      </c>
      <c r="AB288" s="3066" t="s">
        <v>4429</v>
      </c>
      <c r="AC288" s="3066" t="s">
        <v>4429</v>
      </c>
      <c r="AD288" s="3066" t="s">
        <v>4429</v>
      </c>
      <c r="AE288" s="3066" t="s">
        <v>3560</v>
      </c>
      <c r="AF288" s="3067">
        <v>1533.6</v>
      </c>
      <c r="AG288" s="3066">
        <v>766.8</v>
      </c>
      <c r="AH288" s="3066">
        <v>190.4</v>
      </c>
      <c r="AI288" s="3066">
        <v>95.2</v>
      </c>
      <c r="AJ288" s="3066">
        <v>113.63</v>
      </c>
      <c r="AK288" s="3066">
        <v>56.94</v>
      </c>
      <c r="AL288" s="3066">
        <v>1837.63</v>
      </c>
      <c r="AM288" s="3066">
        <v>918.94</v>
      </c>
      <c r="AN288" s="3066" t="s">
        <v>3560</v>
      </c>
      <c r="AP288" s="3068">
        <f t="shared" si="4"/>
        <v>36</v>
      </c>
    </row>
    <row r="289" spans="2:42" ht="27" customHeight="1">
      <c r="B289" s="3066">
        <v>297</v>
      </c>
      <c r="C289" s="3066" t="s">
        <v>3147</v>
      </c>
      <c r="D289" s="3066" t="s">
        <v>3972</v>
      </c>
      <c r="E289" s="3066" t="s">
        <v>4611</v>
      </c>
      <c r="F289" s="3066" t="s">
        <v>3917</v>
      </c>
      <c r="G289" s="3066" t="s">
        <v>1373</v>
      </c>
      <c r="H289" s="3066" t="s">
        <v>3560</v>
      </c>
      <c r="I289" s="3066" t="s">
        <v>3679</v>
      </c>
      <c r="J289" s="3066" t="s">
        <v>3680</v>
      </c>
      <c r="K289" s="3066" t="s">
        <v>3560</v>
      </c>
      <c r="L289" s="3066" t="s">
        <v>3681</v>
      </c>
      <c r="M289" s="3066" t="s">
        <v>4612</v>
      </c>
      <c r="N289" s="3066">
        <v>381</v>
      </c>
      <c r="O289" s="3066" t="s">
        <v>3583</v>
      </c>
      <c r="P289" s="3066" t="s">
        <v>3566</v>
      </c>
      <c r="Q289" s="3066">
        <v>0</v>
      </c>
      <c r="R289" s="3066">
        <v>7087.2</v>
      </c>
      <c r="S289" s="3066" t="s">
        <v>3567</v>
      </c>
      <c r="T289" s="3066">
        <v>20</v>
      </c>
      <c r="U289" s="3066">
        <v>7620</v>
      </c>
      <c r="V289" s="3066" t="s">
        <v>3560</v>
      </c>
      <c r="W289" s="3066" t="s">
        <v>3568</v>
      </c>
      <c r="X289" s="3066">
        <v>2</v>
      </c>
      <c r="Y289" s="3066">
        <v>9144</v>
      </c>
      <c r="Z289" s="3066" t="s">
        <v>3568</v>
      </c>
      <c r="AA289" s="3066" t="s">
        <v>3560</v>
      </c>
      <c r="AB289" s="3066" t="s">
        <v>3584</v>
      </c>
      <c r="AC289" s="3066" t="s">
        <v>3584</v>
      </c>
      <c r="AD289" s="3066" t="s">
        <v>3584</v>
      </c>
      <c r="AE289" s="3066" t="s">
        <v>3560</v>
      </c>
      <c r="AF289" s="3067">
        <v>7620</v>
      </c>
      <c r="AG289" s="3066">
        <v>7620</v>
      </c>
      <c r="AH289" s="3066">
        <v>762</v>
      </c>
      <c r="AI289" s="3066">
        <v>762</v>
      </c>
      <c r="AJ289" s="3066">
        <v>1079.46</v>
      </c>
      <c r="AK289" s="3066">
        <v>1079.46</v>
      </c>
      <c r="AL289" s="3066">
        <v>9461.4599999999991</v>
      </c>
      <c r="AM289" s="3066">
        <v>9461.4599999999991</v>
      </c>
      <c r="AN289" s="3066" t="s">
        <v>3560</v>
      </c>
      <c r="AP289" s="3068">
        <f t="shared" si="4"/>
        <v>20</v>
      </c>
    </row>
    <row r="290" spans="2:42" ht="27" customHeight="1">
      <c r="B290" s="3066">
        <v>298</v>
      </c>
      <c r="C290" s="3066" t="s">
        <v>3151</v>
      </c>
      <c r="D290" s="3066" t="s">
        <v>4019</v>
      </c>
      <c r="E290" s="3066" t="s">
        <v>4613</v>
      </c>
      <c r="F290" s="3066" t="s">
        <v>3917</v>
      </c>
      <c r="G290" s="3066" t="s">
        <v>1373</v>
      </c>
      <c r="H290" s="3066" t="s">
        <v>3560</v>
      </c>
      <c r="I290" s="3066" t="s">
        <v>4614</v>
      </c>
      <c r="J290" s="3066" t="s">
        <v>4615</v>
      </c>
      <c r="K290" s="3066" t="s">
        <v>3560</v>
      </c>
      <c r="L290" s="3066" t="s">
        <v>4616</v>
      </c>
      <c r="M290" s="3066" t="s">
        <v>4617</v>
      </c>
      <c r="N290" s="3066">
        <v>37.6</v>
      </c>
      <c r="O290" s="3066" t="s">
        <v>4008</v>
      </c>
      <c r="P290" s="3066" t="s">
        <v>3566</v>
      </c>
      <c r="Q290" s="3066">
        <v>1</v>
      </c>
      <c r="R290" s="3066">
        <v>3746.5</v>
      </c>
      <c r="S290" s="3066" t="s">
        <v>3567</v>
      </c>
      <c r="T290" s="3066">
        <v>18</v>
      </c>
      <c r="U290" s="3066">
        <v>676.8</v>
      </c>
      <c r="V290" s="3066" t="s">
        <v>3560</v>
      </c>
      <c r="W290" s="3066" t="s">
        <v>3568</v>
      </c>
      <c r="X290" s="3066">
        <v>2</v>
      </c>
      <c r="Y290" s="3066">
        <v>902.4</v>
      </c>
      <c r="Z290" s="3066" t="s">
        <v>3568</v>
      </c>
      <c r="AA290" s="3066" t="s">
        <v>3560</v>
      </c>
      <c r="AB290" s="3066" t="s">
        <v>3692</v>
      </c>
      <c r="AC290" s="3066" t="s">
        <v>3692</v>
      </c>
      <c r="AD290" s="3066" t="s">
        <v>3692</v>
      </c>
      <c r="AE290" s="3066" t="s">
        <v>3560</v>
      </c>
      <c r="AF290" s="3067">
        <v>676.8</v>
      </c>
      <c r="AG290" s="3066">
        <v>676.8</v>
      </c>
      <c r="AH290" s="3066">
        <v>75.2</v>
      </c>
      <c r="AI290" s="3066">
        <v>75.2</v>
      </c>
      <c r="AJ290" s="3066">
        <v>284.67</v>
      </c>
      <c r="AK290" s="3066">
        <v>284.67</v>
      </c>
      <c r="AL290" s="3066">
        <v>1036.67</v>
      </c>
      <c r="AM290" s="3066">
        <v>1036.67</v>
      </c>
      <c r="AN290" s="3066" t="s">
        <v>3560</v>
      </c>
      <c r="AP290" s="3068">
        <f t="shared" si="4"/>
        <v>17.999999999999996</v>
      </c>
    </row>
    <row r="291" spans="2:42" ht="27" customHeight="1">
      <c r="B291" s="3066">
        <v>299</v>
      </c>
      <c r="C291" s="3066" t="s">
        <v>3151</v>
      </c>
      <c r="D291" s="3066" t="s">
        <v>4019</v>
      </c>
      <c r="E291" s="3066" t="s">
        <v>4618</v>
      </c>
      <c r="F291" s="3066" t="s">
        <v>3917</v>
      </c>
      <c r="G291" s="3066" t="s">
        <v>3560</v>
      </c>
      <c r="H291" s="3066" t="s">
        <v>3560</v>
      </c>
      <c r="I291" s="3066" t="s">
        <v>4619</v>
      </c>
      <c r="J291" s="3066" t="s">
        <v>4619</v>
      </c>
      <c r="K291" s="3066" t="s">
        <v>3560</v>
      </c>
      <c r="L291" s="3066" t="s">
        <v>4620</v>
      </c>
      <c r="M291" s="3066" t="s">
        <v>4621</v>
      </c>
      <c r="N291" s="3066">
        <v>37.6</v>
      </c>
      <c r="O291" s="3066" t="s">
        <v>3619</v>
      </c>
      <c r="P291" s="3066" t="s">
        <v>3566</v>
      </c>
      <c r="Q291" s="3066">
        <v>1</v>
      </c>
      <c r="R291" s="3066">
        <v>2286</v>
      </c>
      <c r="S291" s="3066" t="s">
        <v>3567</v>
      </c>
      <c r="T291" s="3066">
        <v>19</v>
      </c>
      <c r="U291" s="3066">
        <v>714.4</v>
      </c>
      <c r="V291" s="3066" t="s">
        <v>3560</v>
      </c>
      <c r="W291" s="3066" t="s">
        <v>3568</v>
      </c>
      <c r="X291" s="3066">
        <v>2.27</v>
      </c>
      <c r="Y291" s="3066">
        <v>1022.4</v>
      </c>
      <c r="Z291" s="3066" t="s">
        <v>3568</v>
      </c>
      <c r="AA291" s="3066" t="s">
        <v>3560</v>
      </c>
      <c r="AB291" s="3066" t="s">
        <v>3584</v>
      </c>
      <c r="AC291" s="3066" t="s">
        <v>3584</v>
      </c>
      <c r="AD291" s="3066" t="s">
        <v>3584</v>
      </c>
      <c r="AE291" s="3066" t="s">
        <v>3560</v>
      </c>
      <c r="AF291" s="3067">
        <v>714.4</v>
      </c>
      <c r="AG291" s="3066">
        <v>714.4</v>
      </c>
      <c r="AH291" s="3066">
        <v>85.2</v>
      </c>
      <c r="AI291" s="3066">
        <v>85.2</v>
      </c>
      <c r="AJ291" s="3066">
        <v>118.64</v>
      </c>
      <c r="AK291" s="3066">
        <v>118.64</v>
      </c>
      <c r="AL291" s="3066">
        <v>918.24</v>
      </c>
      <c r="AM291" s="3066">
        <v>918.24</v>
      </c>
      <c r="AN291" s="3066" t="s">
        <v>3560</v>
      </c>
      <c r="AP291" s="3068">
        <f t="shared" si="4"/>
        <v>19</v>
      </c>
    </row>
    <row r="292" spans="2:42" ht="27" customHeight="1">
      <c r="B292" s="3066">
        <v>300</v>
      </c>
      <c r="C292" s="3066" t="s">
        <v>3151</v>
      </c>
      <c r="D292" s="3066" t="s">
        <v>4019</v>
      </c>
      <c r="E292" s="3066" t="s">
        <v>4622</v>
      </c>
      <c r="F292" s="3066" t="s">
        <v>3917</v>
      </c>
      <c r="G292" s="3066" t="s">
        <v>3560</v>
      </c>
      <c r="H292" s="3066" t="s">
        <v>3560</v>
      </c>
      <c r="I292" s="3066" t="s">
        <v>4623</v>
      </c>
      <c r="J292" s="3066" t="s">
        <v>4623</v>
      </c>
      <c r="K292" s="3066" t="s">
        <v>3560</v>
      </c>
      <c r="L292" s="3066" t="s">
        <v>3789</v>
      </c>
      <c r="M292" s="3066" t="s">
        <v>4624</v>
      </c>
      <c r="N292" s="3066">
        <v>37.6</v>
      </c>
      <c r="O292" s="3066" t="s">
        <v>3619</v>
      </c>
      <c r="P292" s="3066" t="s">
        <v>3566</v>
      </c>
      <c r="Q292" s="3066">
        <v>1</v>
      </c>
      <c r="R292" s="3066">
        <v>6858</v>
      </c>
      <c r="S292" s="3066" t="s">
        <v>3567</v>
      </c>
      <c r="T292" s="3066">
        <v>19</v>
      </c>
      <c r="U292" s="3066">
        <v>714.4</v>
      </c>
      <c r="V292" s="3066" t="s">
        <v>3560</v>
      </c>
      <c r="W292" s="3066" t="s">
        <v>3568</v>
      </c>
      <c r="X292" s="3066">
        <v>2.27</v>
      </c>
      <c r="Y292" s="3066">
        <v>1022.4</v>
      </c>
      <c r="Z292" s="3066" t="s">
        <v>3568</v>
      </c>
      <c r="AA292" s="3066" t="s">
        <v>3560</v>
      </c>
      <c r="AB292" s="3066" t="s">
        <v>3584</v>
      </c>
      <c r="AC292" s="3066" t="s">
        <v>3584</v>
      </c>
      <c r="AD292" s="3066" t="s">
        <v>3584</v>
      </c>
      <c r="AE292" s="3066" t="s">
        <v>3560</v>
      </c>
      <c r="AF292" s="3067">
        <v>714.4</v>
      </c>
      <c r="AG292" s="3066">
        <v>0</v>
      </c>
      <c r="AH292" s="3066">
        <v>85.2</v>
      </c>
      <c r="AI292" s="3066">
        <v>0</v>
      </c>
      <c r="AJ292" s="3066">
        <v>11.73</v>
      </c>
      <c r="AK292" s="3066">
        <v>0</v>
      </c>
      <c r="AL292" s="3066">
        <v>811.33</v>
      </c>
      <c r="AM292" s="3066">
        <v>0</v>
      </c>
      <c r="AN292" s="3066" t="s">
        <v>3560</v>
      </c>
      <c r="AP292" s="3068">
        <f t="shared" si="4"/>
        <v>19</v>
      </c>
    </row>
    <row r="293" spans="2:42" ht="27" customHeight="1">
      <c r="B293" s="3066">
        <v>301</v>
      </c>
      <c r="C293" s="3066" t="s">
        <v>3151</v>
      </c>
      <c r="D293" s="3066" t="s">
        <v>4019</v>
      </c>
      <c r="E293" s="3066" t="s">
        <v>4625</v>
      </c>
      <c r="F293" s="3066" t="s">
        <v>3917</v>
      </c>
      <c r="G293" s="3066" t="s">
        <v>3560</v>
      </c>
      <c r="H293" s="3066" t="s">
        <v>3560</v>
      </c>
      <c r="I293" s="3066" t="s">
        <v>4623</v>
      </c>
      <c r="J293" s="3066" t="s">
        <v>4623</v>
      </c>
      <c r="K293" s="3066" t="s">
        <v>3560</v>
      </c>
      <c r="L293" s="3066" t="s">
        <v>3789</v>
      </c>
      <c r="M293" s="3066" t="s">
        <v>4626</v>
      </c>
      <c r="N293" s="3066">
        <v>37.6</v>
      </c>
      <c r="O293" s="3066" t="s">
        <v>3560</v>
      </c>
      <c r="P293" s="3066" t="s">
        <v>3560</v>
      </c>
      <c r="Q293" s="3066">
        <v>0</v>
      </c>
      <c r="R293" s="3066">
        <v>0</v>
      </c>
      <c r="S293" s="3066" t="s">
        <v>3577</v>
      </c>
      <c r="T293" s="3066">
        <v>0</v>
      </c>
      <c r="U293" s="3066">
        <v>0</v>
      </c>
      <c r="V293" s="3066" t="s">
        <v>3560</v>
      </c>
      <c r="W293" s="3066" t="s">
        <v>3568</v>
      </c>
      <c r="X293" s="3066">
        <v>0</v>
      </c>
      <c r="Y293" s="3066">
        <v>0</v>
      </c>
      <c r="Z293" s="3066" t="s">
        <v>3568</v>
      </c>
      <c r="AA293" s="3066" t="s">
        <v>3560</v>
      </c>
      <c r="AB293" s="3066" t="s">
        <v>3560</v>
      </c>
      <c r="AC293" s="3066" t="s">
        <v>3560</v>
      </c>
      <c r="AD293" s="3066" t="s">
        <v>3560</v>
      </c>
      <c r="AE293" s="3066" t="s">
        <v>3560</v>
      </c>
      <c r="AF293" s="3067">
        <v>0</v>
      </c>
      <c r="AG293" s="3066">
        <v>0</v>
      </c>
      <c r="AH293" s="3066">
        <v>0</v>
      </c>
      <c r="AI293" s="3066">
        <v>0</v>
      </c>
      <c r="AJ293" s="3066">
        <v>0</v>
      </c>
      <c r="AK293" s="3066">
        <v>0</v>
      </c>
      <c r="AL293" s="3066">
        <v>0</v>
      </c>
      <c r="AM293" s="3066">
        <v>0</v>
      </c>
      <c r="AN293" s="3066" t="s">
        <v>3560</v>
      </c>
      <c r="AP293" s="3068">
        <f t="shared" si="4"/>
        <v>0</v>
      </c>
    </row>
    <row r="294" spans="2:42" ht="27" customHeight="1">
      <c r="B294" s="3066">
        <v>302</v>
      </c>
      <c r="C294" s="3066" t="s">
        <v>3151</v>
      </c>
      <c r="D294" s="3066" t="s">
        <v>4019</v>
      </c>
      <c r="E294" s="3066" t="s">
        <v>4625</v>
      </c>
      <c r="F294" s="3066" t="s">
        <v>3917</v>
      </c>
      <c r="G294" s="3066" t="s">
        <v>3560</v>
      </c>
      <c r="H294" s="3066" t="s">
        <v>3560</v>
      </c>
      <c r="I294" s="3066" t="s">
        <v>4627</v>
      </c>
      <c r="J294" s="3066" t="s">
        <v>4627</v>
      </c>
      <c r="K294" s="3066" t="s">
        <v>3560</v>
      </c>
      <c r="L294" s="3066" t="s">
        <v>4628</v>
      </c>
      <c r="M294" s="3066" t="s">
        <v>4626</v>
      </c>
      <c r="N294" s="3066">
        <v>37.6</v>
      </c>
      <c r="O294" s="3066" t="s">
        <v>4629</v>
      </c>
      <c r="P294" s="3066" t="s">
        <v>3566</v>
      </c>
      <c r="Q294" s="3066">
        <v>0</v>
      </c>
      <c r="R294" s="3066">
        <v>2400</v>
      </c>
      <c r="S294" s="3066" t="s">
        <v>3567</v>
      </c>
      <c r="T294" s="3066">
        <v>19</v>
      </c>
      <c r="U294" s="3066">
        <v>714.4</v>
      </c>
      <c r="V294" s="3066" t="s">
        <v>3560</v>
      </c>
      <c r="W294" s="3066" t="s">
        <v>3568</v>
      </c>
      <c r="X294" s="3066">
        <v>2.27</v>
      </c>
      <c r="Y294" s="3066">
        <v>1022.4</v>
      </c>
      <c r="Z294" s="3066" t="s">
        <v>3568</v>
      </c>
      <c r="AA294" s="3066" t="s">
        <v>3560</v>
      </c>
      <c r="AB294" s="3066" t="s">
        <v>4630</v>
      </c>
      <c r="AC294" s="3066" t="s">
        <v>4630</v>
      </c>
      <c r="AD294" s="3066" t="s">
        <v>4630</v>
      </c>
      <c r="AE294" s="3066" t="s">
        <v>3560</v>
      </c>
      <c r="AF294" s="3067">
        <v>714.4</v>
      </c>
      <c r="AG294" s="3066">
        <v>714.4</v>
      </c>
      <c r="AH294" s="3066">
        <v>85.2</v>
      </c>
      <c r="AI294" s="3066">
        <v>85.2</v>
      </c>
      <c r="AJ294" s="3066">
        <v>0</v>
      </c>
      <c r="AK294" s="3066">
        <v>0</v>
      </c>
      <c r="AL294" s="3066">
        <v>799.6</v>
      </c>
      <c r="AM294" s="3066">
        <v>799.6</v>
      </c>
      <c r="AN294" s="3066" t="s">
        <v>3560</v>
      </c>
      <c r="AP294" s="3068">
        <f t="shared" si="4"/>
        <v>19</v>
      </c>
    </row>
    <row r="295" spans="2:42" ht="27" customHeight="1">
      <c r="B295" s="3066">
        <v>303</v>
      </c>
      <c r="C295" s="3066" t="s">
        <v>3151</v>
      </c>
      <c r="D295" s="3066" t="s">
        <v>4019</v>
      </c>
      <c r="E295" s="3066" t="s">
        <v>4631</v>
      </c>
      <c r="F295" s="3066" t="s">
        <v>3917</v>
      </c>
      <c r="G295" s="3066" t="s">
        <v>3560</v>
      </c>
      <c r="H295" s="3066" t="s">
        <v>3560</v>
      </c>
      <c r="I295" s="3066" t="s">
        <v>3560</v>
      </c>
      <c r="J295" s="3066" t="s">
        <v>3560</v>
      </c>
      <c r="K295" s="3066" t="s">
        <v>3560</v>
      </c>
      <c r="L295" s="3066" t="s">
        <v>3560</v>
      </c>
      <c r="M295" s="3066" t="s">
        <v>4632</v>
      </c>
      <c r="N295" s="3066">
        <v>37.6</v>
      </c>
      <c r="O295" s="3066" t="s">
        <v>3560</v>
      </c>
      <c r="P295" s="3066" t="s">
        <v>3560</v>
      </c>
      <c r="Q295" s="3066">
        <v>0</v>
      </c>
      <c r="R295" s="3066">
        <v>0</v>
      </c>
      <c r="S295" s="3066" t="s">
        <v>3577</v>
      </c>
      <c r="T295" s="3066">
        <v>0</v>
      </c>
      <c r="U295" s="3066">
        <v>0</v>
      </c>
      <c r="V295" s="3066" t="s">
        <v>3560</v>
      </c>
      <c r="W295" s="3066" t="s">
        <v>3568</v>
      </c>
      <c r="X295" s="3066">
        <v>0</v>
      </c>
      <c r="Y295" s="3066">
        <v>0</v>
      </c>
      <c r="Z295" s="3066" t="s">
        <v>3568</v>
      </c>
      <c r="AA295" s="3066" t="s">
        <v>3560</v>
      </c>
      <c r="AB295" s="3066" t="s">
        <v>3560</v>
      </c>
      <c r="AC295" s="3066" t="s">
        <v>3560</v>
      </c>
      <c r="AD295" s="3066" t="s">
        <v>3560</v>
      </c>
      <c r="AE295" s="3066" t="s">
        <v>3560</v>
      </c>
      <c r="AF295" s="3067">
        <v>0</v>
      </c>
      <c r="AG295" s="3066">
        <v>0</v>
      </c>
      <c r="AH295" s="3066">
        <v>0</v>
      </c>
      <c r="AI295" s="3066">
        <v>0</v>
      </c>
      <c r="AJ295" s="3066">
        <v>0</v>
      </c>
      <c r="AK295" s="3066">
        <v>0</v>
      </c>
      <c r="AL295" s="3066">
        <v>0</v>
      </c>
      <c r="AM295" s="3066">
        <v>0</v>
      </c>
      <c r="AN295" s="3066" t="s">
        <v>3560</v>
      </c>
      <c r="AP295" s="3068">
        <f t="shared" si="4"/>
        <v>0</v>
      </c>
    </row>
    <row r="296" spans="2:42" ht="27" customHeight="1">
      <c r="B296" s="3066">
        <v>304</v>
      </c>
      <c r="C296" s="3066" t="s">
        <v>3151</v>
      </c>
      <c r="D296" s="3066" t="s">
        <v>4019</v>
      </c>
      <c r="E296" s="3066" t="s">
        <v>4633</v>
      </c>
      <c r="F296" s="3066" t="s">
        <v>3917</v>
      </c>
      <c r="G296" s="3066" t="s">
        <v>3560</v>
      </c>
      <c r="H296" s="3066" t="s">
        <v>3560</v>
      </c>
      <c r="I296" s="3066" t="s">
        <v>4623</v>
      </c>
      <c r="J296" s="3066" t="s">
        <v>4623</v>
      </c>
      <c r="K296" s="3066" t="s">
        <v>3560</v>
      </c>
      <c r="L296" s="3066" t="s">
        <v>3789</v>
      </c>
      <c r="M296" s="3066" t="s">
        <v>4634</v>
      </c>
      <c r="N296" s="3066">
        <v>37.6</v>
      </c>
      <c r="O296" s="3066" t="s">
        <v>3560</v>
      </c>
      <c r="P296" s="3066" t="s">
        <v>3560</v>
      </c>
      <c r="Q296" s="3066">
        <v>0</v>
      </c>
      <c r="R296" s="3066">
        <v>0</v>
      </c>
      <c r="S296" s="3066" t="s">
        <v>3577</v>
      </c>
      <c r="T296" s="3066">
        <v>0</v>
      </c>
      <c r="U296" s="3066">
        <v>0</v>
      </c>
      <c r="V296" s="3066" t="s">
        <v>3560</v>
      </c>
      <c r="W296" s="3066" t="s">
        <v>3568</v>
      </c>
      <c r="X296" s="3066">
        <v>0</v>
      </c>
      <c r="Y296" s="3066">
        <v>0</v>
      </c>
      <c r="Z296" s="3066" t="s">
        <v>3568</v>
      </c>
      <c r="AA296" s="3066" t="s">
        <v>3560</v>
      </c>
      <c r="AB296" s="3066" t="s">
        <v>3560</v>
      </c>
      <c r="AC296" s="3066" t="s">
        <v>3560</v>
      </c>
      <c r="AD296" s="3066" t="s">
        <v>3560</v>
      </c>
      <c r="AE296" s="3066" t="s">
        <v>3560</v>
      </c>
      <c r="AF296" s="3067">
        <v>0</v>
      </c>
      <c r="AG296" s="3066">
        <v>0</v>
      </c>
      <c r="AH296" s="3066">
        <v>0</v>
      </c>
      <c r="AI296" s="3066">
        <v>0</v>
      </c>
      <c r="AJ296" s="3066">
        <v>0</v>
      </c>
      <c r="AK296" s="3066">
        <v>0</v>
      </c>
      <c r="AL296" s="3066">
        <v>0</v>
      </c>
      <c r="AM296" s="3066">
        <v>0</v>
      </c>
      <c r="AN296" s="3066" t="s">
        <v>3560</v>
      </c>
      <c r="AP296" s="3068">
        <f t="shared" si="4"/>
        <v>0</v>
      </c>
    </row>
    <row r="297" spans="2:42" ht="27" customHeight="1">
      <c r="B297" s="3066">
        <v>305</v>
      </c>
      <c r="C297" s="3066" t="s">
        <v>3151</v>
      </c>
      <c r="D297" s="3066" t="s">
        <v>4019</v>
      </c>
      <c r="E297" s="3066" t="s">
        <v>4635</v>
      </c>
      <c r="F297" s="3066" t="s">
        <v>3917</v>
      </c>
      <c r="G297" s="3066" t="s">
        <v>1373</v>
      </c>
      <c r="H297" s="3066" t="s">
        <v>3560</v>
      </c>
      <c r="I297" s="3066" t="s">
        <v>3637</v>
      </c>
      <c r="J297" s="3066" t="s">
        <v>3638</v>
      </c>
      <c r="K297" s="3066" t="s">
        <v>3560</v>
      </c>
      <c r="L297" s="3066" t="s">
        <v>3639</v>
      </c>
      <c r="M297" s="3066" t="s">
        <v>4636</v>
      </c>
      <c r="N297" s="3066">
        <v>37.6</v>
      </c>
      <c r="O297" s="3066" t="s">
        <v>3583</v>
      </c>
      <c r="P297" s="3066" t="s">
        <v>3566</v>
      </c>
      <c r="Q297" s="3066">
        <v>0</v>
      </c>
      <c r="R297" s="3066">
        <v>2521.3000000000002</v>
      </c>
      <c r="S297" s="3066" t="s">
        <v>3567</v>
      </c>
      <c r="T297" s="3066">
        <v>18</v>
      </c>
      <c r="U297" s="3066">
        <v>676.8</v>
      </c>
      <c r="V297" s="3066" t="s">
        <v>3560</v>
      </c>
      <c r="W297" s="3066" t="s">
        <v>3568</v>
      </c>
      <c r="X297" s="3066">
        <v>2</v>
      </c>
      <c r="Y297" s="3066">
        <v>902.4</v>
      </c>
      <c r="Z297" s="3066" t="s">
        <v>3568</v>
      </c>
      <c r="AA297" s="3066" t="s">
        <v>3560</v>
      </c>
      <c r="AB297" s="3066" t="s">
        <v>3584</v>
      </c>
      <c r="AC297" s="3066" t="s">
        <v>3584</v>
      </c>
      <c r="AD297" s="3066" t="s">
        <v>3584</v>
      </c>
      <c r="AE297" s="3066" t="s">
        <v>3560</v>
      </c>
      <c r="AF297" s="3067">
        <v>676.8</v>
      </c>
      <c r="AG297" s="3066">
        <v>0</v>
      </c>
      <c r="AH297" s="3066">
        <v>75.2</v>
      </c>
      <c r="AI297" s="3066">
        <v>0</v>
      </c>
      <c r="AJ297" s="3066">
        <v>68.55</v>
      </c>
      <c r="AK297" s="3066">
        <v>0</v>
      </c>
      <c r="AL297" s="3066">
        <v>820.55</v>
      </c>
      <c r="AM297" s="3066">
        <v>0</v>
      </c>
      <c r="AN297" s="3066" t="s">
        <v>3560</v>
      </c>
      <c r="AP297" s="3068">
        <f t="shared" si="4"/>
        <v>17.999999999999996</v>
      </c>
    </row>
    <row r="298" spans="2:42" ht="27" customHeight="1">
      <c r="B298" s="3066">
        <v>306</v>
      </c>
      <c r="C298" s="3066" t="s">
        <v>3151</v>
      </c>
      <c r="D298" s="3066" t="s">
        <v>4019</v>
      </c>
      <c r="E298" s="3066" t="s">
        <v>4637</v>
      </c>
      <c r="F298" s="3066" t="s">
        <v>3917</v>
      </c>
      <c r="G298" s="3066" t="s">
        <v>1373</v>
      </c>
      <c r="H298" s="3066" t="s">
        <v>3560</v>
      </c>
      <c r="I298" s="3066" t="s">
        <v>3637</v>
      </c>
      <c r="J298" s="3066" t="s">
        <v>3638</v>
      </c>
      <c r="K298" s="3066" t="s">
        <v>3560</v>
      </c>
      <c r="L298" s="3066" t="s">
        <v>3639</v>
      </c>
      <c r="M298" s="3066" t="s">
        <v>4638</v>
      </c>
      <c r="N298" s="3066">
        <v>37.6</v>
      </c>
      <c r="O298" s="3066" t="s">
        <v>3583</v>
      </c>
      <c r="P298" s="3066" t="s">
        <v>3566</v>
      </c>
      <c r="Q298" s="3066">
        <v>0</v>
      </c>
      <c r="R298" s="3066">
        <v>0</v>
      </c>
      <c r="S298" s="3066" t="s">
        <v>3577</v>
      </c>
      <c r="T298" s="3066">
        <v>18</v>
      </c>
      <c r="U298" s="3066">
        <v>676.8</v>
      </c>
      <c r="V298" s="3066" t="s">
        <v>3560</v>
      </c>
      <c r="W298" s="3066" t="s">
        <v>3568</v>
      </c>
      <c r="X298" s="3066">
        <v>2</v>
      </c>
      <c r="Y298" s="3066">
        <v>902.4</v>
      </c>
      <c r="Z298" s="3066" t="s">
        <v>3568</v>
      </c>
      <c r="AA298" s="3066" t="s">
        <v>3560</v>
      </c>
      <c r="AB298" s="3066" t="s">
        <v>3584</v>
      </c>
      <c r="AC298" s="3066" t="s">
        <v>3584</v>
      </c>
      <c r="AD298" s="3066" t="s">
        <v>3584</v>
      </c>
      <c r="AE298" s="3066" t="s">
        <v>3560</v>
      </c>
      <c r="AF298" s="3067">
        <v>676.8</v>
      </c>
      <c r="AG298" s="3066">
        <v>0</v>
      </c>
      <c r="AH298" s="3066">
        <v>75.2</v>
      </c>
      <c r="AI298" s="3066">
        <v>0</v>
      </c>
      <c r="AJ298" s="3066">
        <v>33.56</v>
      </c>
      <c r="AK298" s="3066">
        <v>0</v>
      </c>
      <c r="AL298" s="3066">
        <v>785.56</v>
      </c>
      <c r="AM298" s="3066">
        <v>0</v>
      </c>
      <c r="AN298" s="3066" t="s">
        <v>3560</v>
      </c>
      <c r="AP298" s="3068">
        <f t="shared" si="4"/>
        <v>17.999999999999996</v>
      </c>
    </row>
    <row r="299" spans="2:42" ht="27" customHeight="1">
      <c r="B299" s="3066">
        <v>307</v>
      </c>
      <c r="C299" s="3066" t="s">
        <v>3151</v>
      </c>
      <c r="D299" s="3066" t="s">
        <v>4019</v>
      </c>
      <c r="E299" s="3066" t="s">
        <v>4639</v>
      </c>
      <c r="F299" s="3066" t="s">
        <v>3917</v>
      </c>
      <c r="G299" s="3066" t="s">
        <v>1373</v>
      </c>
      <c r="H299" s="3066" t="s">
        <v>3560</v>
      </c>
      <c r="I299" s="3066" t="s">
        <v>3637</v>
      </c>
      <c r="J299" s="3066" t="s">
        <v>3638</v>
      </c>
      <c r="K299" s="3066" t="s">
        <v>3560</v>
      </c>
      <c r="L299" s="3066" t="s">
        <v>3639</v>
      </c>
      <c r="M299" s="3066" t="s">
        <v>4640</v>
      </c>
      <c r="N299" s="3066">
        <v>37.6</v>
      </c>
      <c r="O299" s="3066" t="s">
        <v>3583</v>
      </c>
      <c r="P299" s="3066" t="s">
        <v>3566</v>
      </c>
      <c r="Q299" s="3066">
        <v>0</v>
      </c>
      <c r="R299" s="3066">
        <v>0</v>
      </c>
      <c r="S299" s="3066" t="s">
        <v>3577</v>
      </c>
      <c r="T299" s="3066">
        <v>18</v>
      </c>
      <c r="U299" s="3066">
        <v>676.8</v>
      </c>
      <c r="V299" s="3066" t="s">
        <v>3560</v>
      </c>
      <c r="W299" s="3066" t="s">
        <v>3568</v>
      </c>
      <c r="X299" s="3066">
        <v>2</v>
      </c>
      <c r="Y299" s="3066">
        <v>902.4</v>
      </c>
      <c r="Z299" s="3066" t="s">
        <v>3568</v>
      </c>
      <c r="AA299" s="3066" t="s">
        <v>3560</v>
      </c>
      <c r="AB299" s="3066" t="s">
        <v>3584</v>
      </c>
      <c r="AC299" s="3066" t="s">
        <v>3584</v>
      </c>
      <c r="AD299" s="3066" t="s">
        <v>3584</v>
      </c>
      <c r="AE299" s="3066" t="s">
        <v>3560</v>
      </c>
      <c r="AF299" s="3067">
        <v>676.8</v>
      </c>
      <c r="AG299" s="3066">
        <v>0</v>
      </c>
      <c r="AH299" s="3066">
        <v>75.2</v>
      </c>
      <c r="AI299" s="3066">
        <v>0</v>
      </c>
      <c r="AJ299" s="3066">
        <v>0</v>
      </c>
      <c r="AK299" s="3066">
        <v>0</v>
      </c>
      <c r="AL299" s="3066">
        <v>752</v>
      </c>
      <c r="AM299" s="3066">
        <v>0</v>
      </c>
      <c r="AN299" s="3066" t="s">
        <v>3560</v>
      </c>
      <c r="AP299" s="3068">
        <f t="shared" si="4"/>
        <v>17.999999999999996</v>
      </c>
    </row>
    <row r="300" spans="2:42" ht="27" customHeight="1">
      <c r="B300" s="3066">
        <v>308</v>
      </c>
      <c r="C300" s="3066" t="s">
        <v>3151</v>
      </c>
      <c r="D300" s="3066" t="s">
        <v>4019</v>
      </c>
      <c r="E300" s="3066" t="s">
        <v>4641</v>
      </c>
      <c r="F300" s="3066" t="s">
        <v>3917</v>
      </c>
      <c r="G300" s="3066" t="s">
        <v>1373</v>
      </c>
      <c r="H300" s="3066" t="s">
        <v>3560</v>
      </c>
      <c r="I300" s="3066" t="s">
        <v>3637</v>
      </c>
      <c r="J300" s="3066" t="s">
        <v>3638</v>
      </c>
      <c r="K300" s="3066" t="s">
        <v>3560</v>
      </c>
      <c r="L300" s="3066" t="s">
        <v>3639</v>
      </c>
      <c r="M300" s="3066" t="s">
        <v>4642</v>
      </c>
      <c r="N300" s="3066">
        <v>37.6</v>
      </c>
      <c r="O300" s="3066" t="s">
        <v>3583</v>
      </c>
      <c r="P300" s="3066" t="s">
        <v>3566</v>
      </c>
      <c r="Q300" s="3066">
        <v>0</v>
      </c>
      <c r="R300" s="3066">
        <v>0</v>
      </c>
      <c r="S300" s="3066" t="s">
        <v>3577</v>
      </c>
      <c r="T300" s="3066">
        <v>18</v>
      </c>
      <c r="U300" s="3066">
        <v>676.8</v>
      </c>
      <c r="V300" s="3066" t="s">
        <v>3560</v>
      </c>
      <c r="W300" s="3066" t="s">
        <v>3568</v>
      </c>
      <c r="X300" s="3066">
        <v>2</v>
      </c>
      <c r="Y300" s="3066">
        <v>902.4</v>
      </c>
      <c r="Z300" s="3066" t="s">
        <v>3568</v>
      </c>
      <c r="AA300" s="3066" t="s">
        <v>3560</v>
      </c>
      <c r="AB300" s="3066" t="s">
        <v>3584</v>
      </c>
      <c r="AC300" s="3066" t="s">
        <v>3584</v>
      </c>
      <c r="AD300" s="3066" t="s">
        <v>3584</v>
      </c>
      <c r="AE300" s="3066" t="s">
        <v>3560</v>
      </c>
      <c r="AF300" s="3067">
        <v>676.8</v>
      </c>
      <c r="AG300" s="3066">
        <v>0</v>
      </c>
      <c r="AH300" s="3066">
        <v>75.2</v>
      </c>
      <c r="AI300" s="3066">
        <v>0</v>
      </c>
      <c r="AJ300" s="3066">
        <v>63.85</v>
      </c>
      <c r="AK300" s="3066">
        <v>0</v>
      </c>
      <c r="AL300" s="3066">
        <v>815.85</v>
      </c>
      <c r="AM300" s="3066">
        <v>0</v>
      </c>
      <c r="AN300" s="3066" t="s">
        <v>3560</v>
      </c>
      <c r="AP300" s="3068">
        <f t="shared" si="4"/>
        <v>17.999999999999996</v>
      </c>
    </row>
    <row r="301" spans="2:42" ht="27" customHeight="1">
      <c r="B301" s="3066">
        <v>309</v>
      </c>
      <c r="C301" s="3066" t="s">
        <v>3151</v>
      </c>
      <c r="D301" s="3066" t="s">
        <v>4019</v>
      </c>
      <c r="E301" s="3066" t="s">
        <v>4643</v>
      </c>
      <c r="F301" s="3066" t="s">
        <v>3917</v>
      </c>
      <c r="G301" s="3066" t="s">
        <v>1373</v>
      </c>
      <c r="H301" s="3066" t="s">
        <v>3560</v>
      </c>
      <c r="I301" s="3066" t="s">
        <v>3637</v>
      </c>
      <c r="J301" s="3066" t="s">
        <v>3638</v>
      </c>
      <c r="K301" s="3066" t="s">
        <v>3560</v>
      </c>
      <c r="L301" s="3066" t="s">
        <v>3639</v>
      </c>
      <c r="M301" s="3066" t="s">
        <v>4644</v>
      </c>
      <c r="N301" s="3066">
        <v>37.6</v>
      </c>
      <c r="O301" s="3066" t="s">
        <v>3583</v>
      </c>
      <c r="P301" s="3066" t="s">
        <v>3566</v>
      </c>
      <c r="Q301" s="3066">
        <v>0</v>
      </c>
      <c r="R301" s="3066">
        <v>0</v>
      </c>
      <c r="S301" s="3066" t="s">
        <v>3577</v>
      </c>
      <c r="T301" s="3066">
        <v>18</v>
      </c>
      <c r="U301" s="3066">
        <v>676.8</v>
      </c>
      <c r="V301" s="3066" t="s">
        <v>3560</v>
      </c>
      <c r="W301" s="3066" t="s">
        <v>3568</v>
      </c>
      <c r="X301" s="3066">
        <v>2</v>
      </c>
      <c r="Y301" s="3066">
        <v>902.4</v>
      </c>
      <c r="Z301" s="3066" t="s">
        <v>3568</v>
      </c>
      <c r="AA301" s="3066" t="s">
        <v>3560</v>
      </c>
      <c r="AB301" s="3066" t="s">
        <v>3584</v>
      </c>
      <c r="AC301" s="3066" t="s">
        <v>3584</v>
      </c>
      <c r="AD301" s="3066" t="s">
        <v>3584</v>
      </c>
      <c r="AE301" s="3066" t="s">
        <v>3560</v>
      </c>
      <c r="AF301" s="3067">
        <v>676.8</v>
      </c>
      <c r="AG301" s="3066">
        <v>0</v>
      </c>
      <c r="AH301" s="3066">
        <v>75.2</v>
      </c>
      <c r="AI301" s="3066">
        <v>0</v>
      </c>
      <c r="AJ301" s="3066">
        <v>119.03</v>
      </c>
      <c r="AK301" s="3066">
        <v>0</v>
      </c>
      <c r="AL301" s="3066">
        <v>871.03</v>
      </c>
      <c r="AM301" s="3066">
        <v>0</v>
      </c>
      <c r="AN301" s="3066" t="s">
        <v>3560</v>
      </c>
      <c r="AP301" s="3068">
        <f t="shared" si="4"/>
        <v>17.999999999999996</v>
      </c>
    </row>
    <row r="302" spans="2:42" ht="27" customHeight="1">
      <c r="B302" s="3066">
        <v>310</v>
      </c>
      <c r="C302" s="3066" t="s">
        <v>3151</v>
      </c>
      <c r="D302" s="3066" t="s">
        <v>4019</v>
      </c>
      <c r="E302" s="3066" t="s">
        <v>4645</v>
      </c>
      <c r="F302" s="3066" t="s">
        <v>3917</v>
      </c>
      <c r="G302" s="3066" t="s">
        <v>3560</v>
      </c>
      <c r="H302" s="3066" t="s">
        <v>3560</v>
      </c>
      <c r="I302" s="3066" t="s">
        <v>3560</v>
      </c>
      <c r="J302" s="3066" t="s">
        <v>3560</v>
      </c>
      <c r="K302" s="3066" t="s">
        <v>3560</v>
      </c>
      <c r="L302" s="3066" t="s">
        <v>3560</v>
      </c>
      <c r="M302" s="3066" t="s">
        <v>4646</v>
      </c>
      <c r="N302" s="3066">
        <v>41.7</v>
      </c>
      <c r="O302" s="3066" t="s">
        <v>3560</v>
      </c>
      <c r="P302" s="3066" t="s">
        <v>3560</v>
      </c>
      <c r="Q302" s="3066">
        <v>0</v>
      </c>
      <c r="R302" s="3066">
        <v>0</v>
      </c>
      <c r="S302" s="3066" t="s">
        <v>3577</v>
      </c>
      <c r="T302" s="3066">
        <v>0</v>
      </c>
      <c r="U302" s="3066">
        <v>0</v>
      </c>
      <c r="V302" s="3066" t="s">
        <v>3560</v>
      </c>
      <c r="W302" s="3066" t="s">
        <v>3568</v>
      </c>
      <c r="X302" s="3066">
        <v>0</v>
      </c>
      <c r="Y302" s="3066">
        <v>0</v>
      </c>
      <c r="Z302" s="3066" t="s">
        <v>3568</v>
      </c>
      <c r="AA302" s="3066" t="s">
        <v>3560</v>
      </c>
      <c r="AB302" s="3066" t="s">
        <v>3560</v>
      </c>
      <c r="AC302" s="3066" t="s">
        <v>3560</v>
      </c>
      <c r="AD302" s="3066" t="s">
        <v>3560</v>
      </c>
      <c r="AE302" s="3066" t="s">
        <v>3560</v>
      </c>
      <c r="AF302" s="3067">
        <v>0</v>
      </c>
      <c r="AG302" s="3066">
        <v>0</v>
      </c>
      <c r="AH302" s="3066">
        <v>0</v>
      </c>
      <c r="AI302" s="3066">
        <v>0</v>
      </c>
      <c r="AJ302" s="3066">
        <v>0</v>
      </c>
      <c r="AK302" s="3066">
        <v>0</v>
      </c>
      <c r="AL302" s="3066">
        <v>0</v>
      </c>
      <c r="AM302" s="3066">
        <v>0</v>
      </c>
      <c r="AN302" s="3066" t="s">
        <v>3560</v>
      </c>
      <c r="AP302" s="3068">
        <f t="shared" si="4"/>
        <v>0</v>
      </c>
    </row>
    <row r="303" spans="2:42" ht="27" customHeight="1">
      <c r="B303" s="3066">
        <v>311</v>
      </c>
      <c r="C303" s="3066" t="s">
        <v>3151</v>
      </c>
      <c r="D303" s="3066" t="s">
        <v>4053</v>
      </c>
      <c r="E303" s="3066" t="s">
        <v>4647</v>
      </c>
      <c r="F303" s="3066" t="s">
        <v>3917</v>
      </c>
      <c r="G303" s="3066" t="s">
        <v>1373</v>
      </c>
      <c r="H303" s="3066" t="s">
        <v>3560</v>
      </c>
      <c r="I303" s="3066" t="s">
        <v>3604</v>
      </c>
      <c r="J303" s="3066" t="s">
        <v>3605</v>
      </c>
      <c r="K303" s="3066" t="s">
        <v>3560</v>
      </c>
      <c r="L303" s="3066" t="s">
        <v>3606</v>
      </c>
      <c r="M303" s="3066" t="s">
        <v>4648</v>
      </c>
      <c r="N303" s="3066">
        <v>455.3</v>
      </c>
      <c r="O303" s="3066" t="s">
        <v>3583</v>
      </c>
      <c r="P303" s="3066" t="s">
        <v>3566</v>
      </c>
      <c r="Q303" s="3066">
        <v>0</v>
      </c>
      <c r="R303" s="3066">
        <v>27318</v>
      </c>
      <c r="S303" s="3066" t="s">
        <v>3567</v>
      </c>
      <c r="T303" s="3066">
        <v>18</v>
      </c>
      <c r="U303" s="3066">
        <v>8195.4</v>
      </c>
      <c r="V303" s="3066" t="s">
        <v>3560</v>
      </c>
      <c r="W303" s="3066" t="s">
        <v>3568</v>
      </c>
      <c r="X303" s="3066">
        <v>2</v>
      </c>
      <c r="Y303" s="3066">
        <v>10927.2</v>
      </c>
      <c r="Z303" s="3066" t="s">
        <v>3568</v>
      </c>
      <c r="AA303" s="3066" t="s">
        <v>3560</v>
      </c>
      <c r="AB303" s="3066" t="s">
        <v>3584</v>
      </c>
      <c r="AC303" s="3066" t="s">
        <v>3584</v>
      </c>
      <c r="AD303" s="3066" t="s">
        <v>3584</v>
      </c>
      <c r="AE303" s="3066" t="s">
        <v>3560</v>
      </c>
      <c r="AF303" s="3067">
        <v>8195.4</v>
      </c>
      <c r="AG303" s="3066">
        <v>8195.4</v>
      </c>
      <c r="AH303" s="3066">
        <v>910.6</v>
      </c>
      <c r="AI303" s="3066">
        <v>910.6</v>
      </c>
      <c r="AJ303" s="3066">
        <v>1374.01</v>
      </c>
      <c r="AK303" s="3066">
        <v>1374.01</v>
      </c>
      <c r="AL303" s="3066">
        <v>10480.01</v>
      </c>
      <c r="AM303" s="3066">
        <v>10480.01</v>
      </c>
      <c r="AN303" s="3066" t="s">
        <v>3560</v>
      </c>
      <c r="AP303" s="3068">
        <f t="shared" si="4"/>
        <v>18</v>
      </c>
    </row>
    <row r="304" spans="2:42" ht="27" customHeight="1">
      <c r="B304" s="3066">
        <v>312</v>
      </c>
      <c r="C304" s="3066" t="s">
        <v>3151</v>
      </c>
      <c r="D304" s="3066" t="s">
        <v>3915</v>
      </c>
      <c r="E304" s="3066" t="s">
        <v>4649</v>
      </c>
      <c r="F304" s="3066" t="s">
        <v>3917</v>
      </c>
      <c r="G304" s="3066" t="s">
        <v>1373</v>
      </c>
      <c r="H304" s="3066" t="s">
        <v>3560</v>
      </c>
      <c r="I304" s="3066" t="s">
        <v>4650</v>
      </c>
      <c r="J304" s="3066" t="s">
        <v>3560</v>
      </c>
      <c r="K304" s="3066" t="s">
        <v>3560</v>
      </c>
      <c r="L304" s="3066" t="s">
        <v>4651</v>
      </c>
      <c r="M304" s="3066" t="s">
        <v>4652</v>
      </c>
      <c r="N304" s="3066">
        <v>37.6</v>
      </c>
      <c r="O304" s="3066" t="s">
        <v>3619</v>
      </c>
      <c r="P304" s="3066" t="s">
        <v>3566</v>
      </c>
      <c r="Q304" s="3066">
        <v>1</v>
      </c>
      <c r="R304" s="3066">
        <v>9339</v>
      </c>
      <c r="S304" s="3066" t="s">
        <v>3567</v>
      </c>
      <c r="T304" s="3066">
        <v>19</v>
      </c>
      <c r="U304" s="3066">
        <v>714.4</v>
      </c>
      <c r="V304" s="3066" t="s">
        <v>3560</v>
      </c>
      <c r="W304" s="3066" t="s">
        <v>3568</v>
      </c>
      <c r="X304" s="3066">
        <v>2.27</v>
      </c>
      <c r="Y304" s="3066">
        <v>1022.4</v>
      </c>
      <c r="Z304" s="3066" t="s">
        <v>3568</v>
      </c>
      <c r="AA304" s="3066" t="s">
        <v>3560</v>
      </c>
      <c r="AB304" s="3066" t="s">
        <v>3584</v>
      </c>
      <c r="AC304" s="3066" t="s">
        <v>3584</v>
      </c>
      <c r="AD304" s="3066" t="s">
        <v>3584</v>
      </c>
      <c r="AE304" s="3066" t="s">
        <v>3560</v>
      </c>
      <c r="AF304" s="3067">
        <v>714.4</v>
      </c>
      <c r="AG304" s="3066">
        <v>0</v>
      </c>
      <c r="AH304" s="3066">
        <v>85.2</v>
      </c>
      <c r="AI304" s="3066">
        <v>0</v>
      </c>
      <c r="AJ304" s="3066">
        <v>86.35</v>
      </c>
      <c r="AK304" s="3066">
        <v>0</v>
      </c>
      <c r="AL304" s="3066">
        <v>885.95</v>
      </c>
      <c r="AM304" s="3066">
        <v>0</v>
      </c>
      <c r="AN304" s="3066" t="s">
        <v>3560</v>
      </c>
      <c r="AP304" s="3068">
        <f t="shared" si="4"/>
        <v>19</v>
      </c>
    </row>
    <row r="305" spans="2:42" ht="27" customHeight="1">
      <c r="B305" s="3066">
        <v>313</v>
      </c>
      <c r="C305" s="3066" t="s">
        <v>3151</v>
      </c>
      <c r="D305" s="3066" t="s">
        <v>3915</v>
      </c>
      <c r="E305" s="3066" t="s">
        <v>4653</v>
      </c>
      <c r="F305" s="3066" t="s">
        <v>3917</v>
      </c>
      <c r="G305" s="3066" t="s">
        <v>1373</v>
      </c>
      <c r="H305" s="3066" t="s">
        <v>3560</v>
      </c>
      <c r="I305" s="3066" t="s">
        <v>4650</v>
      </c>
      <c r="J305" s="3066" t="s">
        <v>3560</v>
      </c>
      <c r="K305" s="3066" t="s">
        <v>3560</v>
      </c>
      <c r="L305" s="3066" t="s">
        <v>4651</v>
      </c>
      <c r="M305" s="3066" t="s">
        <v>4654</v>
      </c>
      <c r="N305" s="3066">
        <v>37.6</v>
      </c>
      <c r="O305" s="3066" t="s">
        <v>3619</v>
      </c>
      <c r="P305" s="3066" t="s">
        <v>3566</v>
      </c>
      <c r="Q305" s="3066">
        <v>1</v>
      </c>
      <c r="R305" s="3066">
        <v>3023.4</v>
      </c>
      <c r="S305" s="3066" t="s">
        <v>3567</v>
      </c>
      <c r="T305" s="3066">
        <v>19</v>
      </c>
      <c r="U305" s="3066">
        <v>714.4</v>
      </c>
      <c r="V305" s="3066" t="s">
        <v>3560</v>
      </c>
      <c r="W305" s="3066" t="s">
        <v>3568</v>
      </c>
      <c r="X305" s="3066">
        <v>2.27</v>
      </c>
      <c r="Y305" s="3066">
        <v>1022.4</v>
      </c>
      <c r="Z305" s="3066" t="s">
        <v>3568</v>
      </c>
      <c r="AA305" s="3066" t="s">
        <v>3560</v>
      </c>
      <c r="AB305" s="3066" t="s">
        <v>3584</v>
      </c>
      <c r="AC305" s="3066" t="s">
        <v>3584</v>
      </c>
      <c r="AD305" s="3066" t="s">
        <v>3584</v>
      </c>
      <c r="AE305" s="3066" t="s">
        <v>3560</v>
      </c>
      <c r="AF305" s="3067">
        <v>714.4</v>
      </c>
      <c r="AG305" s="3066">
        <v>0</v>
      </c>
      <c r="AH305" s="3066">
        <v>85.2</v>
      </c>
      <c r="AI305" s="3066">
        <v>0</v>
      </c>
      <c r="AJ305" s="3066">
        <v>17.600000000000001</v>
      </c>
      <c r="AK305" s="3066">
        <v>0</v>
      </c>
      <c r="AL305" s="3066">
        <v>817.2</v>
      </c>
      <c r="AM305" s="3066">
        <v>0</v>
      </c>
      <c r="AN305" s="3066" t="s">
        <v>3560</v>
      </c>
      <c r="AP305" s="3068">
        <f t="shared" si="4"/>
        <v>19</v>
      </c>
    </row>
    <row r="306" spans="2:42" ht="27" customHeight="1">
      <c r="B306" s="3066">
        <v>314</v>
      </c>
      <c r="C306" s="3066" t="s">
        <v>3151</v>
      </c>
      <c r="D306" s="3066" t="s">
        <v>3915</v>
      </c>
      <c r="E306" s="3066" t="s">
        <v>4655</v>
      </c>
      <c r="F306" s="3066" t="s">
        <v>3917</v>
      </c>
      <c r="G306" s="3066" t="s">
        <v>1373</v>
      </c>
      <c r="H306" s="3066" t="s">
        <v>3560</v>
      </c>
      <c r="I306" s="3066" t="s">
        <v>4650</v>
      </c>
      <c r="J306" s="3066" t="s">
        <v>3560</v>
      </c>
      <c r="K306" s="3066" t="s">
        <v>3560</v>
      </c>
      <c r="L306" s="3066" t="s">
        <v>4651</v>
      </c>
      <c r="M306" s="3066" t="s">
        <v>4656</v>
      </c>
      <c r="N306" s="3066">
        <v>37.6</v>
      </c>
      <c r="O306" s="3066" t="s">
        <v>3619</v>
      </c>
      <c r="P306" s="3066" t="s">
        <v>3566</v>
      </c>
      <c r="Q306" s="3066">
        <v>1</v>
      </c>
      <c r="R306" s="3066">
        <v>0</v>
      </c>
      <c r="S306" s="3066" t="s">
        <v>3577</v>
      </c>
      <c r="T306" s="3066">
        <v>19</v>
      </c>
      <c r="U306" s="3066">
        <v>714.4</v>
      </c>
      <c r="V306" s="3066" t="s">
        <v>3560</v>
      </c>
      <c r="W306" s="3066" t="s">
        <v>3568</v>
      </c>
      <c r="X306" s="3066">
        <v>2.27</v>
      </c>
      <c r="Y306" s="3066">
        <v>1022.4</v>
      </c>
      <c r="Z306" s="3066" t="s">
        <v>3568</v>
      </c>
      <c r="AA306" s="3066" t="s">
        <v>3560</v>
      </c>
      <c r="AB306" s="3066" t="s">
        <v>3584</v>
      </c>
      <c r="AC306" s="3066" t="s">
        <v>3584</v>
      </c>
      <c r="AD306" s="3066" t="s">
        <v>3584</v>
      </c>
      <c r="AE306" s="3066" t="s">
        <v>3560</v>
      </c>
      <c r="AF306" s="3067">
        <v>714.4</v>
      </c>
      <c r="AG306" s="3066">
        <v>0</v>
      </c>
      <c r="AH306" s="3066">
        <v>85.2</v>
      </c>
      <c r="AI306" s="3066">
        <v>0</v>
      </c>
      <c r="AJ306" s="3066">
        <v>0</v>
      </c>
      <c r="AK306" s="3066">
        <v>0</v>
      </c>
      <c r="AL306" s="3066">
        <v>799.6</v>
      </c>
      <c r="AM306" s="3066">
        <v>0</v>
      </c>
      <c r="AN306" s="3066" t="s">
        <v>3560</v>
      </c>
      <c r="AP306" s="3068">
        <f t="shared" si="4"/>
        <v>19</v>
      </c>
    </row>
    <row r="307" spans="2:42" ht="27" customHeight="1">
      <c r="B307" s="3066">
        <v>315</v>
      </c>
      <c r="C307" s="3066" t="s">
        <v>3151</v>
      </c>
      <c r="D307" s="3066" t="s">
        <v>3915</v>
      </c>
      <c r="E307" s="3066" t="s">
        <v>4657</v>
      </c>
      <c r="F307" s="3066" t="s">
        <v>3917</v>
      </c>
      <c r="G307" s="3066" t="s">
        <v>1373</v>
      </c>
      <c r="H307" s="3066" t="s">
        <v>3560</v>
      </c>
      <c r="I307" s="3066" t="s">
        <v>4650</v>
      </c>
      <c r="J307" s="3066" t="s">
        <v>3560</v>
      </c>
      <c r="K307" s="3066" t="s">
        <v>3560</v>
      </c>
      <c r="L307" s="3066" t="s">
        <v>4651</v>
      </c>
      <c r="M307" s="3066" t="s">
        <v>4658</v>
      </c>
      <c r="N307" s="3066">
        <v>37.6</v>
      </c>
      <c r="O307" s="3066" t="s">
        <v>3619</v>
      </c>
      <c r="P307" s="3066" t="s">
        <v>3566</v>
      </c>
      <c r="Q307" s="3066">
        <v>1</v>
      </c>
      <c r="R307" s="3066">
        <v>0</v>
      </c>
      <c r="S307" s="3066" t="s">
        <v>3577</v>
      </c>
      <c r="T307" s="3066">
        <v>19</v>
      </c>
      <c r="U307" s="3066">
        <v>714.4</v>
      </c>
      <c r="V307" s="3066" t="s">
        <v>3560</v>
      </c>
      <c r="W307" s="3066" t="s">
        <v>3568</v>
      </c>
      <c r="X307" s="3066">
        <v>2.27</v>
      </c>
      <c r="Y307" s="3066">
        <v>1022.4</v>
      </c>
      <c r="Z307" s="3066" t="s">
        <v>3568</v>
      </c>
      <c r="AA307" s="3066" t="s">
        <v>3560</v>
      </c>
      <c r="AB307" s="3066" t="s">
        <v>3584</v>
      </c>
      <c r="AC307" s="3066" t="s">
        <v>3584</v>
      </c>
      <c r="AD307" s="3066" t="s">
        <v>3584</v>
      </c>
      <c r="AE307" s="3066" t="s">
        <v>3560</v>
      </c>
      <c r="AF307" s="3067">
        <v>714.4</v>
      </c>
      <c r="AG307" s="3066">
        <v>0</v>
      </c>
      <c r="AH307" s="3066">
        <v>85.2</v>
      </c>
      <c r="AI307" s="3066">
        <v>0</v>
      </c>
      <c r="AJ307" s="3066">
        <v>11.73</v>
      </c>
      <c r="AK307" s="3066">
        <v>0</v>
      </c>
      <c r="AL307" s="3066">
        <v>811.33</v>
      </c>
      <c r="AM307" s="3066">
        <v>0</v>
      </c>
      <c r="AN307" s="3066" t="s">
        <v>3560</v>
      </c>
      <c r="AP307" s="3068">
        <f t="shared" si="4"/>
        <v>19</v>
      </c>
    </row>
    <row r="308" spans="2:42" ht="27" customHeight="1">
      <c r="B308" s="3066">
        <v>316</v>
      </c>
      <c r="C308" s="3066" t="s">
        <v>3151</v>
      </c>
      <c r="D308" s="3066" t="s">
        <v>3915</v>
      </c>
      <c r="E308" s="3066" t="s">
        <v>4659</v>
      </c>
      <c r="F308" s="3066" t="s">
        <v>3917</v>
      </c>
      <c r="G308" s="3066" t="s">
        <v>1373</v>
      </c>
      <c r="H308" s="3066" t="s">
        <v>3560</v>
      </c>
      <c r="I308" s="3066" t="s">
        <v>4650</v>
      </c>
      <c r="J308" s="3066" t="s">
        <v>3560</v>
      </c>
      <c r="K308" s="3066" t="s">
        <v>3560</v>
      </c>
      <c r="L308" s="3066" t="s">
        <v>4651</v>
      </c>
      <c r="M308" s="3066" t="s">
        <v>4660</v>
      </c>
      <c r="N308" s="3066">
        <v>37.6</v>
      </c>
      <c r="O308" s="3066" t="s">
        <v>3619</v>
      </c>
      <c r="P308" s="3066" t="s">
        <v>3566</v>
      </c>
      <c r="Q308" s="3066">
        <v>1</v>
      </c>
      <c r="R308" s="3066">
        <v>0</v>
      </c>
      <c r="S308" s="3066" t="s">
        <v>3577</v>
      </c>
      <c r="T308" s="3066">
        <v>19</v>
      </c>
      <c r="U308" s="3066">
        <v>714.4</v>
      </c>
      <c r="V308" s="3066" t="s">
        <v>3560</v>
      </c>
      <c r="W308" s="3066" t="s">
        <v>3568</v>
      </c>
      <c r="X308" s="3066">
        <v>2.27</v>
      </c>
      <c r="Y308" s="3066">
        <v>1022.4</v>
      </c>
      <c r="Z308" s="3066" t="s">
        <v>3568</v>
      </c>
      <c r="AA308" s="3066" t="s">
        <v>3560</v>
      </c>
      <c r="AB308" s="3066" t="s">
        <v>3584</v>
      </c>
      <c r="AC308" s="3066" t="s">
        <v>3584</v>
      </c>
      <c r="AD308" s="3066" t="s">
        <v>3584</v>
      </c>
      <c r="AE308" s="3066" t="s">
        <v>3560</v>
      </c>
      <c r="AF308" s="3067">
        <v>714.4</v>
      </c>
      <c r="AG308" s="3066">
        <v>0</v>
      </c>
      <c r="AH308" s="3066">
        <v>85.2</v>
      </c>
      <c r="AI308" s="3066">
        <v>0</v>
      </c>
      <c r="AJ308" s="3066">
        <v>59.32</v>
      </c>
      <c r="AK308" s="3066">
        <v>0</v>
      </c>
      <c r="AL308" s="3066">
        <v>858.92</v>
      </c>
      <c r="AM308" s="3066">
        <v>0</v>
      </c>
      <c r="AN308" s="3066" t="s">
        <v>3560</v>
      </c>
      <c r="AP308" s="3068">
        <f t="shared" si="4"/>
        <v>19</v>
      </c>
    </row>
    <row r="309" spans="2:42" ht="27" customHeight="1">
      <c r="B309" s="3066">
        <v>317</v>
      </c>
      <c r="C309" s="3066" t="s">
        <v>3151</v>
      </c>
      <c r="D309" s="3066" t="s">
        <v>3915</v>
      </c>
      <c r="E309" s="3066" t="s">
        <v>4661</v>
      </c>
      <c r="F309" s="3066" t="s">
        <v>3917</v>
      </c>
      <c r="G309" s="3066" t="s">
        <v>1373</v>
      </c>
      <c r="H309" s="3066" t="s">
        <v>3560</v>
      </c>
      <c r="I309" s="3066" t="s">
        <v>4650</v>
      </c>
      <c r="J309" s="3066" t="s">
        <v>3560</v>
      </c>
      <c r="K309" s="3066" t="s">
        <v>3560</v>
      </c>
      <c r="L309" s="3066" t="s">
        <v>4651</v>
      </c>
      <c r="M309" s="3066" t="s">
        <v>4662</v>
      </c>
      <c r="N309" s="3066">
        <v>37.6</v>
      </c>
      <c r="O309" s="3066" t="s">
        <v>3619</v>
      </c>
      <c r="P309" s="3066" t="s">
        <v>3566</v>
      </c>
      <c r="Q309" s="3066">
        <v>1</v>
      </c>
      <c r="R309" s="3066">
        <v>0</v>
      </c>
      <c r="S309" s="3066" t="s">
        <v>3577</v>
      </c>
      <c r="T309" s="3066">
        <v>19</v>
      </c>
      <c r="U309" s="3066">
        <v>714.4</v>
      </c>
      <c r="V309" s="3066" t="s">
        <v>3560</v>
      </c>
      <c r="W309" s="3066" t="s">
        <v>3568</v>
      </c>
      <c r="X309" s="3066">
        <v>2.27</v>
      </c>
      <c r="Y309" s="3066">
        <v>1022.4</v>
      </c>
      <c r="Z309" s="3066" t="s">
        <v>3568</v>
      </c>
      <c r="AA309" s="3066" t="s">
        <v>3560</v>
      </c>
      <c r="AB309" s="3066" t="s">
        <v>3584</v>
      </c>
      <c r="AC309" s="3066" t="s">
        <v>3584</v>
      </c>
      <c r="AD309" s="3066" t="s">
        <v>3584</v>
      </c>
      <c r="AE309" s="3066" t="s">
        <v>3560</v>
      </c>
      <c r="AF309" s="3067">
        <v>714.4</v>
      </c>
      <c r="AG309" s="3066">
        <v>0</v>
      </c>
      <c r="AH309" s="3066">
        <v>85.2</v>
      </c>
      <c r="AI309" s="3066">
        <v>0</v>
      </c>
      <c r="AJ309" s="3066">
        <v>248.48</v>
      </c>
      <c r="AK309" s="3066">
        <v>0</v>
      </c>
      <c r="AL309" s="3066">
        <v>1048.08</v>
      </c>
      <c r="AM309" s="3066">
        <v>0</v>
      </c>
      <c r="AN309" s="3066" t="s">
        <v>3560</v>
      </c>
      <c r="AP309" s="3068">
        <f t="shared" si="4"/>
        <v>19</v>
      </c>
    </row>
    <row r="310" spans="2:42" ht="27" customHeight="1">
      <c r="B310" s="3066">
        <v>318</v>
      </c>
      <c r="C310" s="3066" t="s">
        <v>3151</v>
      </c>
      <c r="D310" s="3066" t="s">
        <v>3915</v>
      </c>
      <c r="E310" s="3066" t="s">
        <v>4663</v>
      </c>
      <c r="F310" s="3066" t="s">
        <v>3917</v>
      </c>
      <c r="G310" s="3066" t="s">
        <v>1373</v>
      </c>
      <c r="H310" s="3066" t="s">
        <v>3560</v>
      </c>
      <c r="I310" s="3066" t="s">
        <v>3870</v>
      </c>
      <c r="J310" s="3066" t="s">
        <v>3871</v>
      </c>
      <c r="K310" s="3066" t="s">
        <v>3560</v>
      </c>
      <c r="L310" s="3066" t="s">
        <v>3872</v>
      </c>
      <c r="M310" s="3066" t="s">
        <v>4664</v>
      </c>
      <c r="N310" s="3066">
        <v>37.6</v>
      </c>
      <c r="O310" s="3066" t="s">
        <v>3583</v>
      </c>
      <c r="P310" s="3066" t="s">
        <v>3566</v>
      </c>
      <c r="Q310" s="3066">
        <v>0</v>
      </c>
      <c r="R310" s="3066">
        <v>2256</v>
      </c>
      <c r="S310" s="3066" t="s">
        <v>3567</v>
      </c>
      <c r="T310" s="3066">
        <v>18</v>
      </c>
      <c r="U310" s="3066">
        <v>676.8</v>
      </c>
      <c r="V310" s="3066" t="s">
        <v>3560</v>
      </c>
      <c r="W310" s="3066" t="s">
        <v>3568</v>
      </c>
      <c r="X310" s="3066">
        <v>2</v>
      </c>
      <c r="Y310" s="3066">
        <v>902.4</v>
      </c>
      <c r="Z310" s="3066" t="s">
        <v>3568</v>
      </c>
      <c r="AA310" s="3066" t="s">
        <v>3560</v>
      </c>
      <c r="AB310" s="3066" t="s">
        <v>3584</v>
      </c>
      <c r="AC310" s="3066" t="s">
        <v>3584</v>
      </c>
      <c r="AD310" s="3066" t="s">
        <v>3584</v>
      </c>
      <c r="AE310" s="3066" t="s">
        <v>3560</v>
      </c>
      <c r="AF310" s="3067">
        <v>676.8</v>
      </c>
      <c r="AG310" s="3066">
        <v>676.8</v>
      </c>
      <c r="AH310" s="3066">
        <v>75.2</v>
      </c>
      <c r="AI310" s="3066">
        <v>75.2</v>
      </c>
      <c r="AJ310" s="3066">
        <v>28.49</v>
      </c>
      <c r="AK310" s="3066">
        <v>28.49</v>
      </c>
      <c r="AL310" s="3066">
        <v>780.49</v>
      </c>
      <c r="AM310" s="3066">
        <v>780.49</v>
      </c>
      <c r="AN310" s="3066" t="s">
        <v>3560</v>
      </c>
      <c r="AP310" s="3068">
        <f t="shared" si="4"/>
        <v>17.999999999999996</v>
      </c>
    </row>
    <row r="311" spans="2:42" ht="27" customHeight="1">
      <c r="B311" s="3066">
        <v>319</v>
      </c>
      <c r="C311" s="3066" t="s">
        <v>3151</v>
      </c>
      <c r="D311" s="3066" t="s">
        <v>3915</v>
      </c>
      <c r="E311" s="3066" t="s">
        <v>4665</v>
      </c>
      <c r="F311" s="3066" t="s">
        <v>3917</v>
      </c>
      <c r="G311" s="3066" t="s">
        <v>1373</v>
      </c>
      <c r="H311" s="3066" t="s">
        <v>3560</v>
      </c>
      <c r="I311" s="3066" t="s">
        <v>4666</v>
      </c>
      <c r="J311" s="3066" t="s">
        <v>3560</v>
      </c>
      <c r="K311" s="3066" t="s">
        <v>3560</v>
      </c>
      <c r="L311" s="3066" t="s">
        <v>4667</v>
      </c>
      <c r="M311" s="3066" t="s">
        <v>4668</v>
      </c>
      <c r="N311" s="3066">
        <v>37.6</v>
      </c>
      <c r="O311" s="3066" t="s">
        <v>3619</v>
      </c>
      <c r="P311" s="3066" t="s">
        <v>3566</v>
      </c>
      <c r="Q311" s="3066">
        <v>1</v>
      </c>
      <c r="R311" s="3066">
        <v>2286</v>
      </c>
      <c r="S311" s="3066" t="s">
        <v>3567</v>
      </c>
      <c r="T311" s="3066">
        <v>19</v>
      </c>
      <c r="U311" s="3066">
        <v>714.4</v>
      </c>
      <c r="V311" s="3066" t="s">
        <v>3560</v>
      </c>
      <c r="W311" s="3066" t="s">
        <v>3568</v>
      </c>
      <c r="X311" s="3066">
        <v>2.27</v>
      </c>
      <c r="Y311" s="3066">
        <v>1022.4</v>
      </c>
      <c r="Z311" s="3066" t="s">
        <v>3568</v>
      </c>
      <c r="AA311" s="3066" t="s">
        <v>3560</v>
      </c>
      <c r="AB311" s="3066" t="s">
        <v>3584</v>
      </c>
      <c r="AC311" s="3066" t="s">
        <v>3584</v>
      </c>
      <c r="AD311" s="3066" t="s">
        <v>3584</v>
      </c>
      <c r="AE311" s="3066" t="s">
        <v>3560</v>
      </c>
      <c r="AF311" s="3067">
        <v>714.4</v>
      </c>
      <c r="AG311" s="3066">
        <v>714.4</v>
      </c>
      <c r="AH311" s="3066">
        <v>85.2</v>
      </c>
      <c r="AI311" s="3066">
        <v>85.2</v>
      </c>
      <c r="AJ311" s="3066">
        <v>87.79</v>
      </c>
      <c r="AK311" s="3066">
        <v>87.79</v>
      </c>
      <c r="AL311" s="3066">
        <v>887.39</v>
      </c>
      <c r="AM311" s="3066">
        <v>887.39</v>
      </c>
      <c r="AN311" s="3066" t="s">
        <v>3560</v>
      </c>
      <c r="AP311" s="3068">
        <f t="shared" si="4"/>
        <v>19</v>
      </c>
    </row>
    <row r="312" spans="2:42" ht="27" customHeight="1">
      <c r="B312" s="3066">
        <v>320</v>
      </c>
      <c r="C312" s="3066" t="s">
        <v>3151</v>
      </c>
      <c r="D312" s="3066" t="s">
        <v>3915</v>
      </c>
      <c r="E312" s="3066" t="s">
        <v>4669</v>
      </c>
      <c r="F312" s="3066" t="s">
        <v>3917</v>
      </c>
      <c r="G312" s="3066" t="s">
        <v>1373</v>
      </c>
      <c r="H312" s="3066" t="s">
        <v>3560</v>
      </c>
      <c r="I312" s="3066" t="s">
        <v>4670</v>
      </c>
      <c r="J312" s="3066" t="s">
        <v>4670</v>
      </c>
      <c r="K312" s="3066" t="s">
        <v>3560</v>
      </c>
      <c r="L312" s="3066" t="s">
        <v>4671</v>
      </c>
      <c r="M312" s="3066" t="s">
        <v>4672</v>
      </c>
      <c r="N312" s="3066">
        <v>37.6</v>
      </c>
      <c r="O312" s="3066" t="s">
        <v>3619</v>
      </c>
      <c r="P312" s="3066" t="s">
        <v>3566</v>
      </c>
      <c r="Q312" s="3066">
        <v>1</v>
      </c>
      <c r="R312" s="3066">
        <v>1557</v>
      </c>
      <c r="S312" s="3066" t="s">
        <v>3567</v>
      </c>
      <c r="T312" s="3066">
        <v>19</v>
      </c>
      <c r="U312" s="3066">
        <v>714.4</v>
      </c>
      <c r="V312" s="3066" t="s">
        <v>3560</v>
      </c>
      <c r="W312" s="3066" t="s">
        <v>3568</v>
      </c>
      <c r="X312" s="3066">
        <v>2.27</v>
      </c>
      <c r="Y312" s="3066">
        <v>1022.4</v>
      </c>
      <c r="Z312" s="3066" t="s">
        <v>3568</v>
      </c>
      <c r="AA312" s="3066" t="s">
        <v>3560</v>
      </c>
      <c r="AB312" s="3066" t="s">
        <v>3584</v>
      </c>
      <c r="AC312" s="3066" t="s">
        <v>3584</v>
      </c>
      <c r="AD312" s="3066" t="s">
        <v>3584</v>
      </c>
      <c r="AE312" s="3066" t="s">
        <v>3560</v>
      </c>
      <c r="AF312" s="3067">
        <v>714.4</v>
      </c>
      <c r="AG312" s="3066">
        <v>714.4</v>
      </c>
      <c r="AH312" s="3066">
        <v>85.2</v>
      </c>
      <c r="AI312" s="3066">
        <v>85.2</v>
      </c>
      <c r="AJ312" s="3066">
        <v>99.77</v>
      </c>
      <c r="AK312" s="3066">
        <v>99.77</v>
      </c>
      <c r="AL312" s="3066">
        <v>899.37</v>
      </c>
      <c r="AM312" s="3066">
        <v>899.37</v>
      </c>
      <c r="AN312" s="3066" t="s">
        <v>3560</v>
      </c>
      <c r="AP312" s="3068">
        <f t="shared" si="4"/>
        <v>19</v>
      </c>
    </row>
    <row r="313" spans="2:42" ht="27" customHeight="1">
      <c r="B313" s="3066">
        <v>321</v>
      </c>
      <c r="C313" s="3066" t="s">
        <v>3151</v>
      </c>
      <c r="D313" s="3066" t="s">
        <v>3915</v>
      </c>
      <c r="E313" s="3066" t="s">
        <v>4673</v>
      </c>
      <c r="F313" s="3066" t="s">
        <v>3917</v>
      </c>
      <c r="G313" s="3066" t="s">
        <v>1373</v>
      </c>
      <c r="H313" s="3066" t="s">
        <v>3560</v>
      </c>
      <c r="I313" s="3066" t="s">
        <v>3657</v>
      </c>
      <c r="J313" s="3066" t="s">
        <v>3658</v>
      </c>
      <c r="K313" s="3066" t="s">
        <v>3560</v>
      </c>
      <c r="L313" s="3066" t="s">
        <v>3659</v>
      </c>
      <c r="M313" s="3066" t="s">
        <v>4674</v>
      </c>
      <c r="N313" s="3066">
        <v>37.6</v>
      </c>
      <c r="O313" s="3066" t="s">
        <v>3583</v>
      </c>
      <c r="P313" s="3066" t="s">
        <v>3566</v>
      </c>
      <c r="Q313" s="3066">
        <v>0</v>
      </c>
      <c r="R313" s="3066">
        <v>4211.2</v>
      </c>
      <c r="S313" s="3066" t="s">
        <v>3567</v>
      </c>
      <c r="T313" s="3066">
        <v>18</v>
      </c>
      <c r="U313" s="3066">
        <v>676.8</v>
      </c>
      <c r="V313" s="3066" t="s">
        <v>3560</v>
      </c>
      <c r="W313" s="3066" t="s">
        <v>3568</v>
      </c>
      <c r="X313" s="3066">
        <v>2</v>
      </c>
      <c r="Y313" s="3066">
        <v>902.4</v>
      </c>
      <c r="Z313" s="3066" t="s">
        <v>3568</v>
      </c>
      <c r="AA313" s="3066" t="s">
        <v>3560</v>
      </c>
      <c r="AB313" s="3066" t="s">
        <v>3584</v>
      </c>
      <c r="AC313" s="3066" t="s">
        <v>3584</v>
      </c>
      <c r="AD313" s="3066" t="s">
        <v>3584</v>
      </c>
      <c r="AE313" s="3066" t="s">
        <v>3560</v>
      </c>
      <c r="AF313" s="3067">
        <v>676.8</v>
      </c>
      <c r="AG313" s="3066">
        <v>676.8</v>
      </c>
      <c r="AH313" s="3066">
        <v>75.2</v>
      </c>
      <c r="AI313" s="3066">
        <v>75.2</v>
      </c>
      <c r="AJ313" s="3066">
        <v>62.21</v>
      </c>
      <c r="AK313" s="3066">
        <v>62.21</v>
      </c>
      <c r="AL313" s="3066">
        <v>814.21</v>
      </c>
      <c r="AM313" s="3066">
        <v>814.21</v>
      </c>
      <c r="AN313" s="3066" t="s">
        <v>3560</v>
      </c>
      <c r="AP313" s="3068">
        <f t="shared" si="4"/>
        <v>17.999999999999996</v>
      </c>
    </row>
    <row r="314" spans="2:42" ht="27" customHeight="1">
      <c r="B314" s="3066">
        <v>322</v>
      </c>
      <c r="C314" s="3066" t="s">
        <v>3151</v>
      </c>
      <c r="D314" s="3066" t="s">
        <v>3915</v>
      </c>
      <c r="E314" s="3066" t="s">
        <v>4675</v>
      </c>
      <c r="F314" s="3066" t="s">
        <v>3917</v>
      </c>
      <c r="G314" s="3066" t="s">
        <v>1373</v>
      </c>
      <c r="H314" s="3066" t="s">
        <v>3560</v>
      </c>
      <c r="I314" s="3066" t="s">
        <v>3879</v>
      </c>
      <c r="J314" s="3066" t="s">
        <v>3880</v>
      </c>
      <c r="K314" s="3066" t="s">
        <v>3560</v>
      </c>
      <c r="L314" s="3066" t="s">
        <v>3881</v>
      </c>
      <c r="M314" s="3066" t="s">
        <v>4676</v>
      </c>
      <c r="N314" s="3066">
        <v>37.6</v>
      </c>
      <c r="O314" s="3066" t="s">
        <v>3931</v>
      </c>
      <c r="P314" s="3066" t="s">
        <v>3566</v>
      </c>
      <c r="Q314" s="3066">
        <v>1</v>
      </c>
      <c r="R314" s="3066">
        <v>4435.3999999999996</v>
      </c>
      <c r="S314" s="3066" t="s">
        <v>3567</v>
      </c>
      <c r="T314" s="3066">
        <v>18</v>
      </c>
      <c r="U314" s="3066">
        <v>676.8</v>
      </c>
      <c r="V314" s="3066" t="s">
        <v>3560</v>
      </c>
      <c r="W314" s="3066" t="s">
        <v>3568</v>
      </c>
      <c r="X314" s="3066">
        <v>2</v>
      </c>
      <c r="Y314" s="3066">
        <v>902.4</v>
      </c>
      <c r="Z314" s="3066" t="s">
        <v>3568</v>
      </c>
      <c r="AA314" s="3066" t="s">
        <v>3560</v>
      </c>
      <c r="AB314" s="3066" t="s">
        <v>3932</v>
      </c>
      <c r="AC314" s="3066" t="s">
        <v>3932</v>
      </c>
      <c r="AD314" s="3066" t="s">
        <v>3932</v>
      </c>
      <c r="AE314" s="3066" t="s">
        <v>3560</v>
      </c>
      <c r="AF314" s="3067">
        <v>676.8</v>
      </c>
      <c r="AG314" s="3066">
        <v>676.8</v>
      </c>
      <c r="AH314" s="3066">
        <v>75.2</v>
      </c>
      <c r="AI314" s="3066">
        <v>75.2</v>
      </c>
      <c r="AJ314" s="3066">
        <v>79.81</v>
      </c>
      <c r="AK314" s="3066">
        <v>79.81</v>
      </c>
      <c r="AL314" s="3066">
        <v>831.81</v>
      </c>
      <c r="AM314" s="3066">
        <v>831.81</v>
      </c>
      <c r="AN314" s="3066" t="s">
        <v>3560</v>
      </c>
      <c r="AP314" s="3068">
        <f t="shared" si="4"/>
        <v>17.999999999999996</v>
      </c>
    </row>
    <row r="315" spans="2:42" ht="27" customHeight="1">
      <c r="B315" s="3066">
        <v>323</v>
      </c>
      <c r="C315" s="3066" t="s">
        <v>3151</v>
      </c>
      <c r="D315" s="3066" t="s">
        <v>3915</v>
      </c>
      <c r="E315" s="3066" t="s">
        <v>4677</v>
      </c>
      <c r="F315" s="3066" t="s">
        <v>3917</v>
      </c>
      <c r="G315" s="3066" t="s">
        <v>1373</v>
      </c>
      <c r="H315" s="3066" t="s">
        <v>3560</v>
      </c>
      <c r="I315" s="3066" t="s">
        <v>3879</v>
      </c>
      <c r="J315" s="3066" t="s">
        <v>3880</v>
      </c>
      <c r="K315" s="3066" t="s">
        <v>3560</v>
      </c>
      <c r="L315" s="3066" t="s">
        <v>3881</v>
      </c>
      <c r="M315" s="3066" t="s">
        <v>4678</v>
      </c>
      <c r="N315" s="3066">
        <v>41.7</v>
      </c>
      <c r="O315" s="3066" t="s">
        <v>3931</v>
      </c>
      <c r="P315" s="3066" t="s">
        <v>3566</v>
      </c>
      <c r="Q315" s="3066">
        <v>1</v>
      </c>
      <c r="R315" s="3066">
        <v>0</v>
      </c>
      <c r="S315" s="3066" t="s">
        <v>3577</v>
      </c>
      <c r="T315" s="3066">
        <v>18</v>
      </c>
      <c r="U315" s="3066">
        <v>750.6</v>
      </c>
      <c r="V315" s="3066" t="s">
        <v>3560</v>
      </c>
      <c r="W315" s="3066" t="s">
        <v>3568</v>
      </c>
      <c r="X315" s="3066">
        <v>2</v>
      </c>
      <c r="Y315" s="3066">
        <v>1000.8</v>
      </c>
      <c r="Z315" s="3066" t="s">
        <v>3568</v>
      </c>
      <c r="AA315" s="3066" t="s">
        <v>3560</v>
      </c>
      <c r="AB315" s="3066" t="s">
        <v>3932</v>
      </c>
      <c r="AC315" s="3066" t="s">
        <v>3932</v>
      </c>
      <c r="AD315" s="3066" t="s">
        <v>3932</v>
      </c>
      <c r="AE315" s="3066" t="s">
        <v>3560</v>
      </c>
      <c r="AF315" s="3067">
        <v>750.6</v>
      </c>
      <c r="AG315" s="3066">
        <v>750.6</v>
      </c>
      <c r="AH315" s="3066">
        <v>83.4</v>
      </c>
      <c r="AI315" s="3066">
        <v>83.4</v>
      </c>
      <c r="AJ315" s="3066">
        <v>152.28</v>
      </c>
      <c r="AK315" s="3066">
        <v>152.28</v>
      </c>
      <c r="AL315" s="3066">
        <v>986.28</v>
      </c>
      <c r="AM315" s="3066">
        <v>986.28</v>
      </c>
      <c r="AN315" s="3066" t="s">
        <v>3560</v>
      </c>
      <c r="AP315" s="3068">
        <f t="shared" si="4"/>
        <v>18</v>
      </c>
    </row>
    <row r="316" spans="2:42" ht="27" customHeight="1">
      <c r="B316" s="3066">
        <v>324</v>
      </c>
      <c r="C316" s="3066" t="s">
        <v>3151</v>
      </c>
      <c r="D316" s="3066" t="s">
        <v>3926</v>
      </c>
      <c r="E316" s="3066" t="s">
        <v>4679</v>
      </c>
      <c r="F316" s="3066" t="s">
        <v>3917</v>
      </c>
      <c r="G316" s="3066" t="s">
        <v>1373</v>
      </c>
      <c r="H316" s="3066" t="s">
        <v>3560</v>
      </c>
      <c r="I316" s="3066" t="s">
        <v>4680</v>
      </c>
      <c r="J316" s="3066" t="s">
        <v>3668</v>
      </c>
      <c r="K316" s="3066" t="s">
        <v>3560</v>
      </c>
      <c r="L316" s="3066" t="s">
        <v>3669</v>
      </c>
      <c r="M316" s="3066" t="s">
        <v>4681</v>
      </c>
      <c r="N316" s="3066">
        <v>37.6</v>
      </c>
      <c r="O316" s="3066" t="s">
        <v>3583</v>
      </c>
      <c r="P316" s="3066" t="s">
        <v>3566</v>
      </c>
      <c r="Q316" s="3066">
        <v>0</v>
      </c>
      <c r="R316" s="3066">
        <v>0</v>
      </c>
      <c r="S316" s="3066" t="s">
        <v>3577</v>
      </c>
      <c r="T316" s="3066">
        <v>18</v>
      </c>
      <c r="U316" s="3066">
        <v>676.8</v>
      </c>
      <c r="V316" s="3066" t="s">
        <v>3560</v>
      </c>
      <c r="W316" s="3066" t="s">
        <v>3568</v>
      </c>
      <c r="X316" s="3066">
        <v>2</v>
      </c>
      <c r="Y316" s="3066">
        <v>902.4</v>
      </c>
      <c r="Z316" s="3066" t="s">
        <v>3568</v>
      </c>
      <c r="AA316" s="3066" t="s">
        <v>3560</v>
      </c>
      <c r="AB316" s="3066" t="s">
        <v>3584</v>
      </c>
      <c r="AC316" s="3066" t="s">
        <v>3584</v>
      </c>
      <c r="AD316" s="3066" t="s">
        <v>3584</v>
      </c>
      <c r="AE316" s="3066" t="s">
        <v>3560</v>
      </c>
      <c r="AF316" s="3067">
        <v>676.8</v>
      </c>
      <c r="AG316" s="3066">
        <v>0</v>
      </c>
      <c r="AH316" s="3066">
        <v>75.2</v>
      </c>
      <c r="AI316" s="3066">
        <v>0</v>
      </c>
      <c r="AJ316" s="3066">
        <v>112.36</v>
      </c>
      <c r="AK316" s="3066">
        <v>0</v>
      </c>
      <c r="AL316" s="3066">
        <v>864.36</v>
      </c>
      <c r="AM316" s="3066">
        <v>0</v>
      </c>
      <c r="AN316" s="3066" t="s">
        <v>3560</v>
      </c>
      <c r="AP316" s="3068">
        <f t="shared" si="4"/>
        <v>17.999999999999996</v>
      </c>
    </row>
    <row r="317" spans="2:42" ht="27" customHeight="1">
      <c r="B317" s="3066">
        <v>325</v>
      </c>
      <c r="C317" s="3066" t="s">
        <v>3151</v>
      </c>
      <c r="D317" s="3066" t="s">
        <v>3926</v>
      </c>
      <c r="E317" s="3066" t="s">
        <v>4682</v>
      </c>
      <c r="F317" s="3066" t="s">
        <v>3917</v>
      </c>
      <c r="G317" s="3066" t="s">
        <v>3560</v>
      </c>
      <c r="H317" s="3066" t="s">
        <v>3560</v>
      </c>
      <c r="I317" s="3066" t="s">
        <v>3560</v>
      </c>
      <c r="J317" s="3066" t="s">
        <v>3560</v>
      </c>
      <c r="K317" s="3066" t="s">
        <v>3560</v>
      </c>
      <c r="L317" s="3066" t="s">
        <v>3560</v>
      </c>
      <c r="M317" s="3066" t="s">
        <v>4683</v>
      </c>
      <c r="N317" s="3066">
        <v>37.6</v>
      </c>
      <c r="O317" s="3066" t="s">
        <v>3560</v>
      </c>
      <c r="P317" s="3066" t="s">
        <v>3560</v>
      </c>
      <c r="Q317" s="3066">
        <v>0</v>
      </c>
      <c r="R317" s="3066">
        <v>0</v>
      </c>
      <c r="S317" s="3066" t="s">
        <v>3577</v>
      </c>
      <c r="T317" s="3066">
        <v>0</v>
      </c>
      <c r="U317" s="3066">
        <v>0</v>
      </c>
      <c r="V317" s="3066" t="s">
        <v>3560</v>
      </c>
      <c r="W317" s="3066" t="s">
        <v>3568</v>
      </c>
      <c r="X317" s="3066">
        <v>0</v>
      </c>
      <c r="Y317" s="3066">
        <v>0</v>
      </c>
      <c r="Z317" s="3066" t="s">
        <v>3568</v>
      </c>
      <c r="AA317" s="3066" t="s">
        <v>3560</v>
      </c>
      <c r="AB317" s="3066" t="s">
        <v>3560</v>
      </c>
      <c r="AC317" s="3066" t="s">
        <v>3560</v>
      </c>
      <c r="AD317" s="3066" t="s">
        <v>3560</v>
      </c>
      <c r="AE317" s="3066" t="s">
        <v>3560</v>
      </c>
      <c r="AF317" s="3067">
        <v>0</v>
      </c>
      <c r="AG317" s="3066">
        <v>0</v>
      </c>
      <c r="AH317" s="3066">
        <v>0</v>
      </c>
      <c r="AI317" s="3066">
        <v>0</v>
      </c>
      <c r="AJ317" s="3066">
        <v>0</v>
      </c>
      <c r="AK317" s="3066">
        <v>0</v>
      </c>
      <c r="AL317" s="3066">
        <v>0</v>
      </c>
      <c r="AM317" s="3066">
        <v>0</v>
      </c>
      <c r="AN317" s="3066" t="s">
        <v>3560</v>
      </c>
      <c r="AP317" s="3068">
        <f t="shared" si="4"/>
        <v>0</v>
      </c>
    </row>
    <row r="318" spans="2:42" ht="27" customHeight="1">
      <c r="B318" s="3066">
        <v>326</v>
      </c>
      <c r="C318" s="3066" t="s">
        <v>3151</v>
      </c>
      <c r="D318" s="3066" t="s">
        <v>3926</v>
      </c>
      <c r="E318" s="3066" t="s">
        <v>4684</v>
      </c>
      <c r="F318" s="3066" t="s">
        <v>3917</v>
      </c>
      <c r="G318" s="3066" t="s">
        <v>1373</v>
      </c>
      <c r="H318" s="3066" t="s">
        <v>3560</v>
      </c>
      <c r="I318" s="3066" t="s">
        <v>4685</v>
      </c>
      <c r="J318" s="3066" t="s">
        <v>3560</v>
      </c>
      <c r="K318" s="3066" t="s">
        <v>3560</v>
      </c>
      <c r="L318" s="3066" t="s">
        <v>4686</v>
      </c>
      <c r="M318" s="3066" t="s">
        <v>4687</v>
      </c>
      <c r="N318" s="3066">
        <v>37.6</v>
      </c>
      <c r="O318" s="3066" t="s">
        <v>4560</v>
      </c>
      <c r="P318" s="3066" t="s">
        <v>3745</v>
      </c>
      <c r="Q318" s="3066">
        <v>0</v>
      </c>
      <c r="R318" s="3066">
        <v>2970</v>
      </c>
      <c r="S318" s="3066" t="s">
        <v>3567</v>
      </c>
      <c r="T318" s="3066">
        <v>18</v>
      </c>
      <c r="U318" s="3066">
        <v>676.8</v>
      </c>
      <c r="V318" s="3066" t="s">
        <v>3560</v>
      </c>
      <c r="W318" s="3066" t="s">
        <v>3568</v>
      </c>
      <c r="X318" s="3066">
        <v>2.27</v>
      </c>
      <c r="Y318" s="3066">
        <v>1022.4</v>
      </c>
      <c r="Z318" s="3066" t="s">
        <v>3568</v>
      </c>
      <c r="AA318" s="3066" t="s">
        <v>3560</v>
      </c>
      <c r="AB318" s="3066" t="s">
        <v>3591</v>
      </c>
      <c r="AC318" s="3066" t="s">
        <v>3591</v>
      </c>
      <c r="AD318" s="3066" t="s">
        <v>3591</v>
      </c>
      <c r="AE318" s="3066" t="s">
        <v>3560</v>
      </c>
      <c r="AF318" s="3067">
        <v>676.8</v>
      </c>
      <c r="AG318" s="3066">
        <v>676.8</v>
      </c>
      <c r="AH318" s="3066">
        <v>85.2</v>
      </c>
      <c r="AI318" s="3066">
        <v>85.2</v>
      </c>
      <c r="AJ318" s="3066">
        <v>123.15</v>
      </c>
      <c r="AK318" s="3066">
        <v>123.15</v>
      </c>
      <c r="AL318" s="3066">
        <v>885.15</v>
      </c>
      <c r="AM318" s="3066">
        <v>885.15</v>
      </c>
      <c r="AN318" s="3066" t="s">
        <v>3560</v>
      </c>
      <c r="AP318" s="3068">
        <f t="shared" si="4"/>
        <v>17.999999999999996</v>
      </c>
    </row>
    <row r="319" spans="2:42" ht="27" customHeight="1">
      <c r="B319" s="3066">
        <v>327</v>
      </c>
      <c r="C319" s="3066" t="s">
        <v>3151</v>
      </c>
      <c r="D319" s="3066" t="s">
        <v>3926</v>
      </c>
      <c r="E319" s="3066" t="s">
        <v>4688</v>
      </c>
      <c r="F319" s="3066" t="s">
        <v>3917</v>
      </c>
      <c r="G319" s="3066" t="s">
        <v>1373</v>
      </c>
      <c r="H319" s="3066" t="s">
        <v>3560</v>
      </c>
      <c r="I319" s="3066" t="s">
        <v>3598</v>
      </c>
      <c r="J319" s="3066" t="s">
        <v>3599</v>
      </c>
      <c r="K319" s="3066" t="s">
        <v>3560</v>
      </c>
      <c r="L319" s="3066" t="s">
        <v>3600</v>
      </c>
      <c r="M319" s="3066" t="s">
        <v>4689</v>
      </c>
      <c r="N319" s="3066">
        <v>37.6</v>
      </c>
      <c r="O319" s="3066" t="s">
        <v>3583</v>
      </c>
      <c r="P319" s="3066" t="s">
        <v>3566</v>
      </c>
      <c r="Q319" s="3066">
        <v>0</v>
      </c>
      <c r="R319" s="3066">
        <v>1422</v>
      </c>
      <c r="S319" s="3066" t="s">
        <v>3567</v>
      </c>
      <c r="T319" s="3066">
        <v>18</v>
      </c>
      <c r="U319" s="3066">
        <v>676.8</v>
      </c>
      <c r="V319" s="3066" t="s">
        <v>3560</v>
      </c>
      <c r="W319" s="3066" t="s">
        <v>3568</v>
      </c>
      <c r="X319" s="3066">
        <v>2</v>
      </c>
      <c r="Y319" s="3066">
        <v>902.4</v>
      </c>
      <c r="Z319" s="3066" t="s">
        <v>3568</v>
      </c>
      <c r="AA319" s="3066" t="s">
        <v>3560</v>
      </c>
      <c r="AB319" s="3066" t="s">
        <v>3584</v>
      </c>
      <c r="AC319" s="3066" t="s">
        <v>3584</v>
      </c>
      <c r="AD319" s="3066" t="s">
        <v>3584</v>
      </c>
      <c r="AE319" s="3066" t="s">
        <v>3560</v>
      </c>
      <c r="AF319" s="3067">
        <v>676.8</v>
      </c>
      <c r="AG319" s="3066">
        <v>0</v>
      </c>
      <c r="AH319" s="3066">
        <v>75.2</v>
      </c>
      <c r="AI319" s="3066">
        <v>0</v>
      </c>
      <c r="AJ319" s="3066">
        <v>40.39</v>
      </c>
      <c r="AK319" s="3066">
        <v>0</v>
      </c>
      <c r="AL319" s="3066">
        <v>792.39</v>
      </c>
      <c r="AM319" s="3066">
        <v>0</v>
      </c>
      <c r="AN319" s="3066" t="s">
        <v>3560</v>
      </c>
      <c r="AP319" s="3068">
        <f t="shared" si="4"/>
        <v>17.999999999999996</v>
      </c>
    </row>
    <row r="320" spans="2:42" ht="27" customHeight="1">
      <c r="B320" s="3066">
        <v>328</v>
      </c>
      <c r="C320" s="3066" t="s">
        <v>3151</v>
      </c>
      <c r="D320" s="3066" t="s">
        <v>3926</v>
      </c>
      <c r="E320" s="3066" t="s">
        <v>4688</v>
      </c>
      <c r="F320" s="3066" t="s">
        <v>3917</v>
      </c>
      <c r="G320" s="3066" t="s">
        <v>1373</v>
      </c>
      <c r="H320" s="3066" t="s">
        <v>3560</v>
      </c>
      <c r="I320" s="3066" t="s">
        <v>4579</v>
      </c>
      <c r="J320" s="3066" t="s">
        <v>3560</v>
      </c>
      <c r="K320" s="3066" t="s">
        <v>3560</v>
      </c>
      <c r="L320" s="3066" t="s">
        <v>4580</v>
      </c>
      <c r="M320" s="3066" t="s">
        <v>4689</v>
      </c>
      <c r="N320" s="3066">
        <v>37.6</v>
      </c>
      <c r="O320" s="3066" t="s">
        <v>3560</v>
      </c>
      <c r="P320" s="3066" t="s">
        <v>3560</v>
      </c>
      <c r="Q320" s="3066">
        <v>0</v>
      </c>
      <c r="R320" s="3066">
        <v>0</v>
      </c>
      <c r="S320" s="3066" t="s">
        <v>3577</v>
      </c>
      <c r="T320" s="3066">
        <v>0</v>
      </c>
      <c r="U320" s="3066">
        <v>0</v>
      </c>
      <c r="V320" s="3066" t="s">
        <v>3560</v>
      </c>
      <c r="W320" s="3066" t="s">
        <v>3568</v>
      </c>
      <c r="X320" s="3066">
        <v>0</v>
      </c>
      <c r="Y320" s="3066">
        <v>0</v>
      </c>
      <c r="Z320" s="3066" t="s">
        <v>3568</v>
      </c>
      <c r="AA320" s="3066" t="s">
        <v>3560</v>
      </c>
      <c r="AB320" s="3066" t="s">
        <v>3560</v>
      </c>
      <c r="AC320" s="3066" t="s">
        <v>3560</v>
      </c>
      <c r="AD320" s="3066" t="s">
        <v>3560</v>
      </c>
      <c r="AE320" s="3066" t="s">
        <v>3560</v>
      </c>
      <c r="AF320" s="3067">
        <v>0</v>
      </c>
      <c r="AG320" s="3066">
        <v>0</v>
      </c>
      <c r="AH320" s="3066">
        <v>0</v>
      </c>
      <c r="AI320" s="3066">
        <v>0</v>
      </c>
      <c r="AJ320" s="3066">
        <v>0</v>
      </c>
      <c r="AK320" s="3066">
        <v>0</v>
      </c>
      <c r="AL320" s="3066">
        <v>0</v>
      </c>
      <c r="AM320" s="3066">
        <v>0</v>
      </c>
      <c r="AN320" s="3066" t="s">
        <v>3560</v>
      </c>
      <c r="AP320" s="3068">
        <f t="shared" si="4"/>
        <v>0</v>
      </c>
    </row>
    <row r="321" spans="2:42" ht="27" customHeight="1">
      <c r="B321" s="3066">
        <v>329</v>
      </c>
      <c r="C321" s="3066" t="s">
        <v>3151</v>
      </c>
      <c r="D321" s="3066" t="s">
        <v>3926</v>
      </c>
      <c r="E321" s="3066" t="s">
        <v>4690</v>
      </c>
      <c r="F321" s="3066" t="s">
        <v>3917</v>
      </c>
      <c r="G321" s="3066" t="s">
        <v>1373</v>
      </c>
      <c r="H321" s="3066" t="s">
        <v>3560</v>
      </c>
      <c r="I321" s="3066" t="s">
        <v>3598</v>
      </c>
      <c r="J321" s="3066" t="s">
        <v>3599</v>
      </c>
      <c r="K321" s="3066" t="s">
        <v>3560</v>
      </c>
      <c r="L321" s="3066" t="s">
        <v>3600</v>
      </c>
      <c r="M321" s="3066" t="s">
        <v>4691</v>
      </c>
      <c r="N321" s="3066">
        <v>37.6</v>
      </c>
      <c r="O321" s="3066" t="s">
        <v>3583</v>
      </c>
      <c r="P321" s="3066" t="s">
        <v>3566</v>
      </c>
      <c r="Q321" s="3066">
        <v>0</v>
      </c>
      <c r="R321" s="3066">
        <v>0</v>
      </c>
      <c r="S321" s="3066" t="s">
        <v>3577</v>
      </c>
      <c r="T321" s="3066">
        <v>18</v>
      </c>
      <c r="U321" s="3066">
        <v>676.8</v>
      </c>
      <c r="V321" s="3066" t="s">
        <v>3560</v>
      </c>
      <c r="W321" s="3066" t="s">
        <v>3568</v>
      </c>
      <c r="X321" s="3066">
        <v>2</v>
      </c>
      <c r="Y321" s="3066">
        <v>902.4</v>
      </c>
      <c r="Z321" s="3066" t="s">
        <v>3568</v>
      </c>
      <c r="AA321" s="3066" t="s">
        <v>3560</v>
      </c>
      <c r="AB321" s="3066" t="s">
        <v>3584</v>
      </c>
      <c r="AC321" s="3066" t="s">
        <v>3584</v>
      </c>
      <c r="AD321" s="3066" t="s">
        <v>3584</v>
      </c>
      <c r="AE321" s="3066" t="s">
        <v>3560</v>
      </c>
      <c r="AF321" s="3067">
        <v>676.8</v>
      </c>
      <c r="AG321" s="3066">
        <v>0</v>
      </c>
      <c r="AH321" s="3066">
        <v>75.2</v>
      </c>
      <c r="AI321" s="3066">
        <v>0</v>
      </c>
      <c r="AJ321" s="3066">
        <v>97.71</v>
      </c>
      <c r="AK321" s="3066">
        <v>0</v>
      </c>
      <c r="AL321" s="3066">
        <v>849.71</v>
      </c>
      <c r="AM321" s="3066">
        <v>0</v>
      </c>
      <c r="AN321" s="3066" t="s">
        <v>3560</v>
      </c>
      <c r="AP321" s="3068">
        <f t="shared" si="4"/>
        <v>17.999999999999996</v>
      </c>
    </row>
    <row r="322" spans="2:42" ht="27" customHeight="1">
      <c r="B322" s="3066">
        <v>330</v>
      </c>
      <c r="C322" s="3066" t="s">
        <v>3151</v>
      </c>
      <c r="D322" s="3066" t="s">
        <v>3926</v>
      </c>
      <c r="E322" s="3066" t="s">
        <v>4692</v>
      </c>
      <c r="F322" s="3066" t="s">
        <v>3917</v>
      </c>
      <c r="G322" s="3066" t="s">
        <v>1373</v>
      </c>
      <c r="H322" s="3066" t="s">
        <v>3560</v>
      </c>
      <c r="I322" s="3066" t="s">
        <v>3598</v>
      </c>
      <c r="J322" s="3066" t="s">
        <v>3599</v>
      </c>
      <c r="K322" s="3066" t="s">
        <v>3560</v>
      </c>
      <c r="L322" s="3066" t="s">
        <v>3600</v>
      </c>
      <c r="M322" s="3066" t="s">
        <v>4693</v>
      </c>
      <c r="N322" s="3066">
        <v>37.6</v>
      </c>
      <c r="O322" s="3066" t="s">
        <v>3583</v>
      </c>
      <c r="P322" s="3066" t="s">
        <v>3566</v>
      </c>
      <c r="Q322" s="3066">
        <v>0</v>
      </c>
      <c r="R322" s="3066">
        <v>2730</v>
      </c>
      <c r="S322" s="3066" t="s">
        <v>3567</v>
      </c>
      <c r="T322" s="3066">
        <v>18</v>
      </c>
      <c r="U322" s="3066">
        <v>676.8</v>
      </c>
      <c r="V322" s="3066" t="s">
        <v>3560</v>
      </c>
      <c r="W322" s="3066" t="s">
        <v>3568</v>
      </c>
      <c r="X322" s="3066">
        <v>2</v>
      </c>
      <c r="Y322" s="3066">
        <v>902.4</v>
      </c>
      <c r="Z322" s="3066" t="s">
        <v>3568</v>
      </c>
      <c r="AA322" s="3066" t="s">
        <v>3560</v>
      </c>
      <c r="AB322" s="3066" t="s">
        <v>3584</v>
      </c>
      <c r="AC322" s="3066" t="s">
        <v>3584</v>
      </c>
      <c r="AD322" s="3066" t="s">
        <v>3584</v>
      </c>
      <c r="AE322" s="3066" t="s">
        <v>3560</v>
      </c>
      <c r="AF322" s="3067">
        <v>676.8</v>
      </c>
      <c r="AG322" s="3066">
        <v>0</v>
      </c>
      <c r="AH322" s="3066">
        <v>75.2</v>
      </c>
      <c r="AI322" s="3066">
        <v>0</v>
      </c>
      <c r="AJ322" s="3066">
        <v>32.42</v>
      </c>
      <c r="AK322" s="3066">
        <v>0</v>
      </c>
      <c r="AL322" s="3066">
        <v>784.42</v>
      </c>
      <c r="AM322" s="3066">
        <v>0</v>
      </c>
      <c r="AN322" s="3066" t="s">
        <v>3560</v>
      </c>
      <c r="AP322" s="3068">
        <f t="shared" si="4"/>
        <v>17.999999999999996</v>
      </c>
    </row>
    <row r="323" spans="2:42" ht="27" customHeight="1">
      <c r="B323" s="3066">
        <v>331</v>
      </c>
      <c r="C323" s="3066" t="s">
        <v>3151</v>
      </c>
      <c r="D323" s="3066" t="s">
        <v>3926</v>
      </c>
      <c r="E323" s="3066" t="s">
        <v>4694</v>
      </c>
      <c r="F323" s="3066" t="s">
        <v>3917</v>
      </c>
      <c r="G323" s="3066" t="s">
        <v>1373</v>
      </c>
      <c r="H323" s="3066" t="s">
        <v>3560</v>
      </c>
      <c r="I323" s="3066" t="s">
        <v>4695</v>
      </c>
      <c r="J323" s="3066" t="s">
        <v>3560</v>
      </c>
      <c r="K323" s="3066" t="s">
        <v>3560</v>
      </c>
      <c r="L323" s="3066" t="s">
        <v>4696</v>
      </c>
      <c r="M323" s="3066" t="s">
        <v>4697</v>
      </c>
      <c r="N323" s="3066">
        <v>37.6</v>
      </c>
      <c r="O323" s="3066" t="s">
        <v>3676</v>
      </c>
      <c r="P323" s="3066" t="s">
        <v>3566</v>
      </c>
      <c r="Q323" s="3066">
        <v>1</v>
      </c>
      <c r="R323" s="3066">
        <v>2286</v>
      </c>
      <c r="S323" s="3066" t="s">
        <v>3567</v>
      </c>
      <c r="T323" s="3066">
        <v>18</v>
      </c>
      <c r="U323" s="3066">
        <v>676.8</v>
      </c>
      <c r="V323" s="3066" t="s">
        <v>3560</v>
      </c>
      <c r="W323" s="3066" t="s">
        <v>3568</v>
      </c>
      <c r="X323" s="3066">
        <v>2.27</v>
      </c>
      <c r="Y323" s="3066">
        <v>1022.4</v>
      </c>
      <c r="Z323" s="3066" t="s">
        <v>3568</v>
      </c>
      <c r="AA323" s="3066" t="s">
        <v>3560</v>
      </c>
      <c r="AB323" s="3066" t="s">
        <v>3677</v>
      </c>
      <c r="AC323" s="3066" t="s">
        <v>3677</v>
      </c>
      <c r="AD323" s="3066" t="s">
        <v>3677</v>
      </c>
      <c r="AE323" s="3066" t="s">
        <v>3560</v>
      </c>
      <c r="AF323" s="3067">
        <v>676.8</v>
      </c>
      <c r="AG323" s="3066">
        <v>676.8</v>
      </c>
      <c r="AH323" s="3066">
        <v>85.2</v>
      </c>
      <c r="AI323" s="3066">
        <v>85.2</v>
      </c>
      <c r="AJ323" s="3066">
        <v>21.41</v>
      </c>
      <c r="AK323" s="3066">
        <v>21.41</v>
      </c>
      <c r="AL323" s="3066">
        <v>783.41</v>
      </c>
      <c r="AM323" s="3066">
        <v>783.41</v>
      </c>
      <c r="AN323" s="3066" t="s">
        <v>3560</v>
      </c>
      <c r="AP323" s="3068">
        <f t="shared" si="4"/>
        <v>17.999999999999996</v>
      </c>
    </row>
    <row r="324" spans="2:42" ht="27" customHeight="1">
      <c r="B324" s="3066">
        <v>332</v>
      </c>
      <c r="C324" s="3066" t="s">
        <v>3151</v>
      </c>
      <c r="D324" s="3066" t="s">
        <v>3926</v>
      </c>
      <c r="E324" s="3066" t="s">
        <v>4698</v>
      </c>
      <c r="F324" s="3066" t="s">
        <v>3917</v>
      </c>
      <c r="G324" s="3066" t="s">
        <v>3560</v>
      </c>
      <c r="H324" s="3066" t="s">
        <v>3560</v>
      </c>
      <c r="I324" s="3066" t="s">
        <v>3560</v>
      </c>
      <c r="J324" s="3066" t="s">
        <v>3560</v>
      </c>
      <c r="K324" s="3066" t="s">
        <v>3560</v>
      </c>
      <c r="L324" s="3066" t="s">
        <v>3560</v>
      </c>
      <c r="M324" s="3066" t="s">
        <v>4699</v>
      </c>
      <c r="N324" s="3066">
        <v>37.6</v>
      </c>
      <c r="O324" s="3066" t="s">
        <v>3560</v>
      </c>
      <c r="P324" s="3066" t="s">
        <v>3560</v>
      </c>
      <c r="Q324" s="3066">
        <v>0</v>
      </c>
      <c r="R324" s="3066">
        <v>0</v>
      </c>
      <c r="S324" s="3066" t="s">
        <v>3577</v>
      </c>
      <c r="T324" s="3066">
        <v>0</v>
      </c>
      <c r="U324" s="3066">
        <v>0</v>
      </c>
      <c r="V324" s="3066" t="s">
        <v>3560</v>
      </c>
      <c r="W324" s="3066" t="s">
        <v>3568</v>
      </c>
      <c r="X324" s="3066">
        <v>0</v>
      </c>
      <c r="Y324" s="3066">
        <v>0</v>
      </c>
      <c r="Z324" s="3066" t="s">
        <v>3568</v>
      </c>
      <c r="AA324" s="3066" t="s">
        <v>3560</v>
      </c>
      <c r="AB324" s="3066" t="s">
        <v>3560</v>
      </c>
      <c r="AC324" s="3066" t="s">
        <v>3560</v>
      </c>
      <c r="AD324" s="3066" t="s">
        <v>3560</v>
      </c>
      <c r="AE324" s="3066" t="s">
        <v>3560</v>
      </c>
      <c r="AF324" s="3067">
        <v>0</v>
      </c>
      <c r="AG324" s="3066">
        <v>0</v>
      </c>
      <c r="AH324" s="3066">
        <v>0</v>
      </c>
      <c r="AI324" s="3066">
        <v>0</v>
      </c>
      <c r="AJ324" s="3066">
        <v>0</v>
      </c>
      <c r="AK324" s="3066">
        <v>0</v>
      </c>
      <c r="AL324" s="3066">
        <v>0</v>
      </c>
      <c r="AM324" s="3066">
        <v>0</v>
      </c>
      <c r="AN324" s="3066" t="s">
        <v>3560</v>
      </c>
      <c r="AP324" s="3068">
        <f t="shared" ref="AP324:AP387" si="5">AF324/N324</f>
        <v>0</v>
      </c>
    </row>
    <row r="325" spans="2:42" ht="27" customHeight="1">
      <c r="B325" s="3066">
        <v>333</v>
      </c>
      <c r="C325" s="3066" t="s">
        <v>3151</v>
      </c>
      <c r="D325" s="3066" t="s">
        <v>3926</v>
      </c>
      <c r="E325" s="3066" t="s">
        <v>4700</v>
      </c>
      <c r="F325" s="3066" t="s">
        <v>3917</v>
      </c>
      <c r="G325" s="3066" t="s">
        <v>1373</v>
      </c>
      <c r="H325" s="3066" t="s">
        <v>3560</v>
      </c>
      <c r="I325" s="3066" t="s">
        <v>4680</v>
      </c>
      <c r="J325" s="3066" t="s">
        <v>3668</v>
      </c>
      <c r="K325" s="3066" t="s">
        <v>3560</v>
      </c>
      <c r="L325" s="3066" t="s">
        <v>3669</v>
      </c>
      <c r="M325" s="3066" t="s">
        <v>4701</v>
      </c>
      <c r="N325" s="3066">
        <v>37.6</v>
      </c>
      <c r="O325" s="3066" t="s">
        <v>3583</v>
      </c>
      <c r="P325" s="3066" t="s">
        <v>3566</v>
      </c>
      <c r="Q325" s="3066">
        <v>0</v>
      </c>
      <c r="R325" s="3066">
        <v>0</v>
      </c>
      <c r="S325" s="3066" t="s">
        <v>3577</v>
      </c>
      <c r="T325" s="3066">
        <v>18</v>
      </c>
      <c r="U325" s="3066">
        <v>676.8</v>
      </c>
      <c r="V325" s="3066" t="s">
        <v>3560</v>
      </c>
      <c r="W325" s="3066" t="s">
        <v>3568</v>
      </c>
      <c r="X325" s="3066">
        <v>2</v>
      </c>
      <c r="Y325" s="3066">
        <v>902.4</v>
      </c>
      <c r="Z325" s="3066" t="s">
        <v>3568</v>
      </c>
      <c r="AA325" s="3066" t="s">
        <v>3560</v>
      </c>
      <c r="AB325" s="3066" t="s">
        <v>3584</v>
      </c>
      <c r="AC325" s="3066" t="s">
        <v>3584</v>
      </c>
      <c r="AD325" s="3066" t="s">
        <v>3584</v>
      </c>
      <c r="AE325" s="3066" t="s">
        <v>3560</v>
      </c>
      <c r="AF325" s="3067">
        <v>676.8</v>
      </c>
      <c r="AG325" s="3066">
        <v>0</v>
      </c>
      <c r="AH325" s="3066">
        <v>75.2</v>
      </c>
      <c r="AI325" s="3066">
        <v>0</v>
      </c>
      <c r="AJ325" s="3066">
        <v>144.13999999999999</v>
      </c>
      <c r="AK325" s="3066">
        <v>0</v>
      </c>
      <c r="AL325" s="3066">
        <v>896.14</v>
      </c>
      <c r="AM325" s="3066">
        <v>0</v>
      </c>
      <c r="AN325" s="3066" t="s">
        <v>3560</v>
      </c>
      <c r="AP325" s="3068">
        <f t="shared" si="5"/>
        <v>17.999999999999996</v>
      </c>
    </row>
    <row r="326" spans="2:42" ht="27" customHeight="1">
      <c r="B326" s="3066">
        <v>334</v>
      </c>
      <c r="C326" s="3066" t="s">
        <v>3151</v>
      </c>
      <c r="D326" s="3066" t="s">
        <v>3926</v>
      </c>
      <c r="E326" s="3066" t="s">
        <v>4702</v>
      </c>
      <c r="F326" s="3066" t="s">
        <v>3917</v>
      </c>
      <c r="G326" s="3066" t="s">
        <v>1373</v>
      </c>
      <c r="H326" s="3066" t="s">
        <v>3560</v>
      </c>
      <c r="I326" s="3066" t="s">
        <v>4680</v>
      </c>
      <c r="J326" s="3066" t="s">
        <v>3668</v>
      </c>
      <c r="K326" s="3066" t="s">
        <v>3560</v>
      </c>
      <c r="L326" s="3066" t="s">
        <v>3669</v>
      </c>
      <c r="M326" s="3066" t="s">
        <v>4703</v>
      </c>
      <c r="N326" s="3066">
        <v>37.6</v>
      </c>
      <c r="O326" s="3066" t="s">
        <v>3583</v>
      </c>
      <c r="P326" s="3066" t="s">
        <v>3566</v>
      </c>
      <c r="Q326" s="3066">
        <v>0</v>
      </c>
      <c r="R326" s="3066">
        <v>0</v>
      </c>
      <c r="S326" s="3066" t="s">
        <v>3577</v>
      </c>
      <c r="T326" s="3066">
        <v>18</v>
      </c>
      <c r="U326" s="3066">
        <v>676.8</v>
      </c>
      <c r="V326" s="3066" t="s">
        <v>3560</v>
      </c>
      <c r="W326" s="3066" t="s">
        <v>3568</v>
      </c>
      <c r="X326" s="3066">
        <v>2</v>
      </c>
      <c r="Y326" s="3066">
        <v>902.4</v>
      </c>
      <c r="Z326" s="3066" t="s">
        <v>3568</v>
      </c>
      <c r="AA326" s="3066" t="s">
        <v>3560</v>
      </c>
      <c r="AB326" s="3066" t="s">
        <v>3584</v>
      </c>
      <c r="AC326" s="3066" t="s">
        <v>3584</v>
      </c>
      <c r="AD326" s="3066" t="s">
        <v>3584</v>
      </c>
      <c r="AE326" s="3066" t="s">
        <v>3560</v>
      </c>
      <c r="AF326" s="3067">
        <v>676.8</v>
      </c>
      <c r="AG326" s="3066">
        <v>0</v>
      </c>
      <c r="AH326" s="3066">
        <v>75.2</v>
      </c>
      <c r="AI326" s="3066">
        <v>0</v>
      </c>
      <c r="AJ326" s="3066">
        <v>140.85</v>
      </c>
      <c r="AK326" s="3066">
        <v>0</v>
      </c>
      <c r="AL326" s="3066">
        <v>892.85</v>
      </c>
      <c r="AM326" s="3066">
        <v>0</v>
      </c>
      <c r="AN326" s="3066" t="s">
        <v>3560</v>
      </c>
      <c r="AP326" s="3068">
        <f t="shared" si="5"/>
        <v>17.999999999999996</v>
      </c>
    </row>
    <row r="327" spans="2:42" ht="27" customHeight="1">
      <c r="B327" s="3066">
        <v>335</v>
      </c>
      <c r="C327" s="3066" t="s">
        <v>3151</v>
      </c>
      <c r="D327" s="3066" t="s">
        <v>3926</v>
      </c>
      <c r="E327" s="3066" t="s">
        <v>4704</v>
      </c>
      <c r="F327" s="3066" t="s">
        <v>3917</v>
      </c>
      <c r="G327" s="3066" t="s">
        <v>3560</v>
      </c>
      <c r="H327" s="3066" t="s">
        <v>3560</v>
      </c>
      <c r="I327" s="3066" t="s">
        <v>3560</v>
      </c>
      <c r="J327" s="3066" t="s">
        <v>3560</v>
      </c>
      <c r="K327" s="3066" t="s">
        <v>3560</v>
      </c>
      <c r="L327" s="3066" t="s">
        <v>3560</v>
      </c>
      <c r="M327" s="3066" t="s">
        <v>4705</v>
      </c>
      <c r="N327" s="3066">
        <v>37.6</v>
      </c>
      <c r="O327" s="3066" t="s">
        <v>3560</v>
      </c>
      <c r="P327" s="3066" t="s">
        <v>3560</v>
      </c>
      <c r="Q327" s="3066">
        <v>0</v>
      </c>
      <c r="R327" s="3066">
        <v>0</v>
      </c>
      <c r="S327" s="3066" t="s">
        <v>3577</v>
      </c>
      <c r="T327" s="3066">
        <v>0</v>
      </c>
      <c r="U327" s="3066">
        <v>0</v>
      </c>
      <c r="V327" s="3066" t="s">
        <v>3560</v>
      </c>
      <c r="W327" s="3066" t="s">
        <v>3568</v>
      </c>
      <c r="X327" s="3066">
        <v>0</v>
      </c>
      <c r="Y327" s="3066">
        <v>0</v>
      </c>
      <c r="Z327" s="3066" t="s">
        <v>3568</v>
      </c>
      <c r="AA327" s="3066" t="s">
        <v>3560</v>
      </c>
      <c r="AB327" s="3066" t="s">
        <v>3560</v>
      </c>
      <c r="AC327" s="3066" t="s">
        <v>3560</v>
      </c>
      <c r="AD327" s="3066" t="s">
        <v>3560</v>
      </c>
      <c r="AE327" s="3066" t="s">
        <v>3560</v>
      </c>
      <c r="AF327" s="3067">
        <v>0</v>
      </c>
      <c r="AG327" s="3066">
        <v>0</v>
      </c>
      <c r="AH327" s="3066">
        <v>0</v>
      </c>
      <c r="AI327" s="3066">
        <v>0</v>
      </c>
      <c r="AJ327" s="3066">
        <v>0</v>
      </c>
      <c r="AK327" s="3066">
        <v>0</v>
      </c>
      <c r="AL327" s="3066">
        <v>0</v>
      </c>
      <c r="AM327" s="3066">
        <v>0</v>
      </c>
      <c r="AN327" s="3066" t="s">
        <v>3560</v>
      </c>
      <c r="AP327" s="3068">
        <f t="shared" si="5"/>
        <v>0</v>
      </c>
    </row>
    <row r="328" spans="2:42" ht="27" customHeight="1">
      <c r="B328" s="3066">
        <v>336</v>
      </c>
      <c r="C328" s="3066" t="s">
        <v>3151</v>
      </c>
      <c r="D328" s="3066" t="s">
        <v>3926</v>
      </c>
      <c r="E328" s="3066" t="s">
        <v>4706</v>
      </c>
      <c r="F328" s="3066" t="s">
        <v>3917</v>
      </c>
      <c r="G328" s="3066" t="s">
        <v>3560</v>
      </c>
      <c r="H328" s="3066" t="s">
        <v>3560</v>
      </c>
      <c r="I328" s="3066" t="s">
        <v>3560</v>
      </c>
      <c r="J328" s="3066" t="s">
        <v>3560</v>
      </c>
      <c r="K328" s="3066" t="s">
        <v>3560</v>
      </c>
      <c r="L328" s="3066" t="s">
        <v>3560</v>
      </c>
      <c r="M328" s="3066" t="s">
        <v>4707</v>
      </c>
      <c r="N328" s="3066">
        <v>41.7</v>
      </c>
      <c r="O328" s="3066" t="s">
        <v>3560</v>
      </c>
      <c r="P328" s="3066" t="s">
        <v>3560</v>
      </c>
      <c r="Q328" s="3066">
        <v>0</v>
      </c>
      <c r="R328" s="3066">
        <v>0</v>
      </c>
      <c r="S328" s="3066" t="s">
        <v>3577</v>
      </c>
      <c r="T328" s="3066">
        <v>0</v>
      </c>
      <c r="U328" s="3066">
        <v>0</v>
      </c>
      <c r="V328" s="3066" t="s">
        <v>3560</v>
      </c>
      <c r="W328" s="3066" t="s">
        <v>3568</v>
      </c>
      <c r="X328" s="3066">
        <v>0</v>
      </c>
      <c r="Y328" s="3066">
        <v>0</v>
      </c>
      <c r="Z328" s="3066" t="s">
        <v>3568</v>
      </c>
      <c r="AA328" s="3066" t="s">
        <v>3560</v>
      </c>
      <c r="AB328" s="3066" t="s">
        <v>3560</v>
      </c>
      <c r="AC328" s="3066" t="s">
        <v>3560</v>
      </c>
      <c r="AD328" s="3066" t="s">
        <v>3560</v>
      </c>
      <c r="AE328" s="3066" t="s">
        <v>3560</v>
      </c>
      <c r="AF328" s="3067">
        <v>0</v>
      </c>
      <c r="AG328" s="3066">
        <v>0</v>
      </c>
      <c r="AH328" s="3066">
        <v>0</v>
      </c>
      <c r="AI328" s="3066">
        <v>0</v>
      </c>
      <c r="AJ328" s="3066">
        <v>0</v>
      </c>
      <c r="AK328" s="3066">
        <v>0</v>
      </c>
      <c r="AL328" s="3066">
        <v>0</v>
      </c>
      <c r="AM328" s="3066">
        <v>0</v>
      </c>
      <c r="AN328" s="3066" t="s">
        <v>3560</v>
      </c>
      <c r="AP328" s="3068">
        <f t="shared" si="5"/>
        <v>0</v>
      </c>
    </row>
    <row r="329" spans="2:42" ht="27" customHeight="1">
      <c r="B329" s="3066">
        <v>337</v>
      </c>
      <c r="C329" s="3066" t="s">
        <v>3151</v>
      </c>
      <c r="D329" s="3066" t="s">
        <v>3972</v>
      </c>
      <c r="E329" s="3066" t="s">
        <v>4708</v>
      </c>
      <c r="F329" s="3066" t="s">
        <v>3917</v>
      </c>
      <c r="G329" s="3066" t="s">
        <v>1373</v>
      </c>
      <c r="H329" s="3066" t="s">
        <v>3560</v>
      </c>
      <c r="I329" s="3066" t="s">
        <v>3593</v>
      </c>
      <c r="J329" s="3066" t="s">
        <v>3594</v>
      </c>
      <c r="K329" s="3066" t="s">
        <v>3560</v>
      </c>
      <c r="L329" s="3066" t="s">
        <v>3595</v>
      </c>
      <c r="M329" s="3066" t="s">
        <v>4709</v>
      </c>
      <c r="N329" s="3066">
        <v>37.6</v>
      </c>
      <c r="O329" s="3066" t="s">
        <v>3583</v>
      </c>
      <c r="P329" s="3066" t="s">
        <v>3566</v>
      </c>
      <c r="Q329" s="3066">
        <v>0</v>
      </c>
      <c r="R329" s="3066">
        <v>1896</v>
      </c>
      <c r="S329" s="3066" t="s">
        <v>3567</v>
      </c>
      <c r="T329" s="3066">
        <v>18</v>
      </c>
      <c r="U329" s="3066">
        <v>676.8</v>
      </c>
      <c r="V329" s="3066" t="s">
        <v>3560</v>
      </c>
      <c r="W329" s="3066" t="s">
        <v>3568</v>
      </c>
      <c r="X329" s="3066">
        <v>2</v>
      </c>
      <c r="Y329" s="3066">
        <v>902.4</v>
      </c>
      <c r="Z329" s="3066" t="s">
        <v>3568</v>
      </c>
      <c r="AA329" s="3066" t="s">
        <v>3560</v>
      </c>
      <c r="AB329" s="3066" t="s">
        <v>3584</v>
      </c>
      <c r="AC329" s="3066" t="s">
        <v>3584</v>
      </c>
      <c r="AD329" s="3066" t="s">
        <v>3584</v>
      </c>
      <c r="AE329" s="3066" t="s">
        <v>3560</v>
      </c>
      <c r="AF329" s="3067">
        <v>676.8</v>
      </c>
      <c r="AG329" s="3066">
        <v>0</v>
      </c>
      <c r="AH329" s="3066">
        <v>75.2</v>
      </c>
      <c r="AI329" s="3066">
        <v>0</v>
      </c>
      <c r="AJ329" s="3066">
        <v>50.48</v>
      </c>
      <c r="AK329" s="3066">
        <v>0</v>
      </c>
      <c r="AL329" s="3066">
        <v>802.48</v>
      </c>
      <c r="AM329" s="3066">
        <v>0</v>
      </c>
      <c r="AN329" s="3066" t="s">
        <v>3560</v>
      </c>
      <c r="AP329" s="3068">
        <f t="shared" si="5"/>
        <v>17.999999999999996</v>
      </c>
    </row>
    <row r="330" spans="2:42" ht="27" customHeight="1">
      <c r="B330" s="3066">
        <v>338</v>
      </c>
      <c r="C330" s="3066" t="s">
        <v>3151</v>
      </c>
      <c r="D330" s="3066" t="s">
        <v>3972</v>
      </c>
      <c r="E330" s="3066" t="s">
        <v>4710</v>
      </c>
      <c r="F330" s="3066" t="s">
        <v>3917</v>
      </c>
      <c r="G330" s="3066" t="s">
        <v>1373</v>
      </c>
      <c r="H330" s="3066" t="s">
        <v>3560</v>
      </c>
      <c r="I330" s="3066" t="s">
        <v>3593</v>
      </c>
      <c r="J330" s="3066" t="s">
        <v>3594</v>
      </c>
      <c r="K330" s="3066" t="s">
        <v>3560</v>
      </c>
      <c r="L330" s="3066" t="s">
        <v>3595</v>
      </c>
      <c r="M330" s="3066" t="s">
        <v>4711</v>
      </c>
      <c r="N330" s="3066">
        <v>37.6</v>
      </c>
      <c r="O330" s="3066" t="s">
        <v>3583</v>
      </c>
      <c r="P330" s="3066" t="s">
        <v>3566</v>
      </c>
      <c r="Q330" s="3066">
        <v>0</v>
      </c>
      <c r="R330" s="3066">
        <v>0</v>
      </c>
      <c r="S330" s="3066" t="s">
        <v>3577</v>
      </c>
      <c r="T330" s="3066">
        <v>18</v>
      </c>
      <c r="U330" s="3066">
        <v>676.8</v>
      </c>
      <c r="V330" s="3066" t="s">
        <v>3560</v>
      </c>
      <c r="W330" s="3066" t="s">
        <v>3568</v>
      </c>
      <c r="X330" s="3066">
        <v>2</v>
      </c>
      <c r="Y330" s="3066">
        <v>902.4</v>
      </c>
      <c r="Z330" s="3066" t="s">
        <v>3568</v>
      </c>
      <c r="AA330" s="3066" t="s">
        <v>3560</v>
      </c>
      <c r="AB330" s="3066" t="s">
        <v>3584</v>
      </c>
      <c r="AC330" s="3066" t="s">
        <v>3584</v>
      </c>
      <c r="AD330" s="3066" t="s">
        <v>3584</v>
      </c>
      <c r="AE330" s="3066" t="s">
        <v>3560</v>
      </c>
      <c r="AF330" s="3067">
        <v>676.8</v>
      </c>
      <c r="AG330" s="3066">
        <v>0</v>
      </c>
      <c r="AH330" s="3066">
        <v>75.2</v>
      </c>
      <c r="AI330" s="3066">
        <v>0</v>
      </c>
      <c r="AJ330" s="3066">
        <v>348.78</v>
      </c>
      <c r="AK330" s="3066">
        <v>0</v>
      </c>
      <c r="AL330" s="3066">
        <v>1100.78</v>
      </c>
      <c r="AM330" s="3066">
        <v>0</v>
      </c>
      <c r="AN330" s="3066" t="s">
        <v>3560</v>
      </c>
      <c r="AP330" s="3068">
        <f t="shared" si="5"/>
        <v>17.999999999999996</v>
      </c>
    </row>
    <row r="331" spans="2:42" ht="27" customHeight="1">
      <c r="B331" s="3066">
        <v>339</v>
      </c>
      <c r="C331" s="3066" t="s">
        <v>3151</v>
      </c>
      <c r="D331" s="3066" t="s">
        <v>3972</v>
      </c>
      <c r="E331" s="3066" t="s">
        <v>4712</v>
      </c>
      <c r="F331" s="3066" t="s">
        <v>3917</v>
      </c>
      <c r="G331" s="3066" t="s">
        <v>1373</v>
      </c>
      <c r="H331" s="3066" t="s">
        <v>3560</v>
      </c>
      <c r="I331" s="3066" t="s">
        <v>3593</v>
      </c>
      <c r="J331" s="3066" t="s">
        <v>3594</v>
      </c>
      <c r="K331" s="3066" t="s">
        <v>3560</v>
      </c>
      <c r="L331" s="3066" t="s">
        <v>3595</v>
      </c>
      <c r="M331" s="3066" t="s">
        <v>4713</v>
      </c>
      <c r="N331" s="3066">
        <v>37.6</v>
      </c>
      <c r="O331" s="3066" t="s">
        <v>3583</v>
      </c>
      <c r="P331" s="3066" t="s">
        <v>3566</v>
      </c>
      <c r="Q331" s="3066">
        <v>0</v>
      </c>
      <c r="R331" s="3066">
        <v>0</v>
      </c>
      <c r="S331" s="3066" t="s">
        <v>3577</v>
      </c>
      <c r="T331" s="3066">
        <v>18</v>
      </c>
      <c r="U331" s="3066">
        <v>676.8</v>
      </c>
      <c r="V331" s="3066" t="s">
        <v>3560</v>
      </c>
      <c r="W331" s="3066" t="s">
        <v>3568</v>
      </c>
      <c r="X331" s="3066">
        <v>2</v>
      </c>
      <c r="Y331" s="3066">
        <v>902.4</v>
      </c>
      <c r="Z331" s="3066" t="s">
        <v>3568</v>
      </c>
      <c r="AA331" s="3066" t="s">
        <v>3560</v>
      </c>
      <c r="AB331" s="3066" t="s">
        <v>3584</v>
      </c>
      <c r="AC331" s="3066" t="s">
        <v>3584</v>
      </c>
      <c r="AD331" s="3066" t="s">
        <v>3584</v>
      </c>
      <c r="AE331" s="3066" t="s">
        <v>3560</v>
      </c>
      <c r="AF331" s="3067">
        <v>676.8</v>
      </c>
      <c r="AG331" s="3066">
        <v>0</v>
      </c>
      <c r="AH331" s="3066">
        <v>75.2</v>
      </c>
      <c r="AI331" s="3066">
        <v>0</v>
      </c>
      <c r="AJ331" s="3066">
        <v>63.99</v>
      </c>
      <c r="AK331" s="3066">
        <v>0</v>
      </c>
      <c r="AL331" s="3066">
        <v>815.99</v>
      </c>
      <c r="AM331" s="3066">
        <v>0</v>
      </c>
      <c r="AN331" s="3066" t="s">
        <v>3560</v>
      </c>
      <c r="AP331" s="3068">
        <f t="shared" si="5"/>
        <v>17.999999999999996</v>
      </c>
    </row>
    <row r="332" spans="2:42" ht="27" customHeight="1">
      <c r="B332" s="3066">
        <v>340</v>
      </c>
      <c r="C332" s="3066" t="s">
        <v>3151</v>
      </c>
      <c r="D332" s="3066" t="s">
        <v>3972</v>
      </c>
      <c r="E332" s="3066" t="s">
        <v>4714</v>
      </c>
      <c r="F332" s="3066" t="s">
        <v>3917</v>
      </c>
      <c r="G332" s="3066" t="s">
        <v>1373</v>
      </c>
      <c r="H332" s="3066" t="s">
        <v>3560</v>
      </c>
      <c r="I332" s="3066" t="s">
        <v>3593</v>
      </c>
      <c r="J332" s="3066" t="s">
        <v>3594</v>
      </c>
      <c r="K332" s="3066" t="s">
        <v>3560</v>
      </c>
      <c r="L332" s="3066" t="s">
        <v>3595</v>
      </c>
      <c r="M332" s="3066" t="s">
        <v>4715</v>
      </c>
      <c r="N332" s="3066">
        <v>37.6</v>
      </c>
      <c r="O332" s="3066" t="s">
        <v>3583</v>
      </c>
      <c r="P332" s="3066" t="s">
        <v>3566</v>
      </c>
      <c r="Q332" s="3066">
        <v>0</v>
      </c>
      <c r="R332" s="3066">
        <v>0</v>
      </c>
      <c r="S332" s="3066" t="s">
        <v>3577</v>
      </c>
      <c r="T332" s="3066">
        <v>18</v>
      </c>
      <c r="U332" s="3066">
        <v>676.8</v>
      </c>
      <c r="V332" s="3066" t="s">
        <v>3560</v>
      </c>
      <c r="W332" s="3066" t="s">
        <v>3568</v>
      </c>
      <c r="X332" s="3066">
        <v>2</v>
      </c>
      <c r="Y332" s="3066">
        <v>902.4</v>
      </c>
      <c r="Z332" s="3066" t="s">
        <v>3568</v>
      </c>
      <c r="AA332" s="3066" t="s">
        <v>3560</v>
      </c>
      <c r="AB332" s="3066" t="s">
        <v>3584</v>
      </c>
      <c r="AC332" s="3066" t="s">
        <v>3584</v>
      </c>
      <c r="AD332" s="3066" t="s">
        <v>3584</v>
      </c>
      <c r="AE332" s="3066" t="s">
        <v>3560</v>
      </c>
      <c r="AF332" s="3067">
        <v>676.8</v>
      </c>
      <c r="AG332" s="3066">
        <v>0</v>
      </c>
      <c r="AH332" s="3066">
        <v>75.2</v>
      </c>
      <c r="AI332" s="3066">
        <v>0</v>
      </c>
      <c r="AJ332" s="3066">
        <v>2.2799999999999998</v>
      </c>
      <c r="AK332" s="3066">
        <v>0</v>
      </c>
      <c r="AL332" s="3066">
        <v>754.28</v>
      </c>
      <c r="AM332" s="3066">
        <v>0</v>
      </c>
      <c r="AN332" s="3066" t="s">
        <v>3560</v>
      </c>
      <c r="AP332" s="3068">
        <f t="shared" si="5"/>
        <v>17.999999999999996</v>
      </c>
    </row>
    <row r="333" spans="2:42" ht="27" customHeight="1">
      <c r="B333" s="3066">
        <v>341</v>
      </c>
      <c r="C333" s="3066" t="s">
        <v>3151</v>
      </c>
      <c r="D333" s="3066" t="s">
        <v>4209</v>
      </c>
      <c r="E333" s="3066" t="s">
        <v>4716</v>
      </c>
      <c r="F333" s="3066" t="s">
        <v>3917</v>
      </c>
      <c r="G333" s="3066" t="s">
        <v>1373</v>
      </c>
      <c r="H333" s="3066" t="s">
        <v>3560</v>
      </c>
      <c r="I333" s="3066" t="s">
        <v>3598</v>
      </c>
      <c r="J333" s="3066" t="s">
        <v>3599</v>
      </c>
      <c r="K333" s="3066" t="s">
        <v>3560</v>
      </c>
      <c r="L333" s="3066" t="s">
        <v>3600</v>
      </c>
      <c r="M333" s="3066" t="s">
        <v>4717</v>
      </c>
      <c r="N333" s="3066">
        <v>37.6</v>
      </c>
      <c r="O333" s="3066" t="s">
        <v>3583</v>
      </c>
      <c r="P333" s="3066" t="s">
        <v>3566</v>
      </c>
      <c r="Q333" s="3066">
        <v>0</v>
      </c>
      <c r="R333" s="3066">
        <v>0</v>
      </c>
      <c r="S333" s="3066" t="s">
        <v>3577</v>
      </c>
      <c r="T333" s="3066">
        <v>18</v>
      </c>
      <c r="U333" s="3066">
        <v>676.8</v>
      </c>
      <c r="V333" s="3066" t="s">
        <v>3560</v>
      </c>
      <c r="W333" s="3066" t="s">
        <v>3568</v>
      </c>
      <c r="X333" s="3066">
        <v>2</v>
      </c>
      <c r="Y333" s="3066">
        <v>902.4</v>
      </c>
      <c r="Z333" s="3066" t="s">
        <v>3568</v>
      </c>
      <c r="AA333" s="3066" t="s">
        <v>3560</v>
      </c>
      <c r="AB333" s="3066" t="s">
        <v>3584</v>
      </c>
      <c r="AC333" s="3066" t="s">
        <v>3584</v>
      </c>
      <c r="AD333" s="3066" t="s">
        <v>3584</v>
      </c>
      <c r="AE333" s="3066" t="s">
        <v>3560</v>
      </c>
      <c r="AF333" s="3067">
        <v>676.8</v>
      </c>
      <c r="AG333" s="3066">
        <v>0</v>
      </c>
      <c r="AH333" s="3066">
        <v>75.2</v>
      </c>
      <c r="AI333" s="3066">
        <v>0</v>
      </c>
      <c r="AJ333" s="3066">
        <v>32.08</v>
      </c>
      <c r="AK333" s="3066">
        <v>0</v>
      </c>
      <c r="AL333" s="3066">
        <v>784.08</v>
      </c>
      <c r="AM333" s="3066">
        <v>0</v>
      </c>
      <c r="AN333" s="3066" t="s">
        <v>3560</v>
      </c>
      <c r="AP333" s="3068">
        <f t="shared" si="5"/>
        <v>17.999999999999996</v>
      </c>
    </row>
    <row r="334" spans="2:42" ht="27" customHeight="1">
      <c r="B334" s="3066">
        <v>342</v>
      </c>
      <c r="C334" s="3066" t="s">
        <v>3151</v>
      </c>
      <c r="D334" s="3066" t="s">
        <v>3901</v>
      </c>
      <c r="E334" s="3066" t="s">
        <v>4718</v>
      </c>
      <c r="F334" s="3066" t="s">
        <v>3917</v>
      </c>
      <c r="G334" s="3066" t="s">
        <v>1373</v>
      </c>
      <c r="H334" s="3066" t="s">
        <v>3560</v>
      </c>
      <c r="I334" s="3066" t="s">
        <v>3598</v>
      </c>
      <c r="J334" s="3066" t="s">
        <v>3599</v>
      </c>
      <c r="K334" s="3066" t="s">
        <v>3560</v>
      </c>
      <c r="L334" s="3066" t="s">
        <v>3600</v>
      </c>
      <c r="M334" s="3066" t="s">
        <v>4719</v>
      </c>
      <c r="N334" s="3066">
        <v>37.6</v>
      </c>
      <c r="O334" s="3066" t="s">
        <v>3583</v>
      </c>
      <c r="P334" s="3066" t="s">
        <v>3566</v>
      </c>
      <c r="Q334" s="3066">
        <v>0</v>
      </c>
      <c r="R334" s="3066">
        <v>0</v>
      </c>
      <c r="S334" s="3066" t="s">
        <v>3577</v>
      </c>
      <c r="T334" s="3066">
        <v>18</v>
      </c>
      <c r="U334" s="3066">
        <v>676.8</v>
      </c>
      <c r="V334" s="3066" t="s">
        <v>3560</v>
      </c>
      <c r="W334" s="3066" t="s">
        <v>3568</v>
      </c>
      <c r="X334" s="3066">
        <v>2</v>
      </c>
      <c r="Y334" s="3066">
        <v>902.4</v>
      </c>
      <c r="Z334" s="3066" t="s">
        <v>3568</v>
      </c>
      <c r="AA334" s="3066" t="s">
        <v>3560</v>
      </c>
      <c r="AB334" s="3066" t="s">
        <v>3584</v>
      </c>
      <c r="AC334" s="3066" t="s">
        <v>3584</v>
      </c>
      <c r="AD334" s="3066" t="s">
        <v>3584</v>
      </c>
      <c r="AE334" s="3066" t="s">
        <v>3560</v>
      </c>
      <c r="AF334" s="3067">
        <v>676.8</v>
      </c>
      <c r="AG334" s="3066">
        <v>0</v>
      </c>
      <c r="AH334" s="3066">
        <v>75.2</v>
      </c>
      <c r="AI334" s="3066">
        <v>0</v>
      </c>
      <c r="AJ334" s="3066">
        <v>24.44</v>
      </c>
      <c r="AK334" s="3066">
        <v>0</v>
      </c>
      <c r="AL334" s="3066">
        <v>776.44</v>
      </c>
      <c r="AM334" s="3066">
        <v>0</v>
      </c>
      <c r="AN334" s="3066" t="s">
        <v>3560</v>
      </c>
      <c r="AP334" s="3068">
        <f t="shared" si="5"/>
        <v>17.999999999999996</v>
      </c>
    </row>
    <row r="335" spans="2:42" ht="27" customHeight="1">
      <c r="B335" s="3066">
        <v>343</v>
      </c>
      <c r="C335" s="3066" t="s">
        <v>3151</v>
      </c>
      <c r="D335" s="3066" t="s">
        <v>3972</v>
      </c>
      <c r="E335" s="3066" t="s">
        <v>4720</v>
      </c>
      <c r="F335" s="3066" t="s">
        <v>3917</v>
      </c>
      <c r="G335" s="3066" t="s">
        <v>3560</v>
      </c>
      <c r="H335" s="3066" t="s">
        <v>3560</v>
      </c>
      <c r="I335" s="3066" t="s">
        <v>4721</v>
      </c>
      <c r="J335" s="3066" t="s">
        <v>3560</v>
      </c>
      <c r="K335" s="3066" t="s">
        <v>3560</v>
      </c>
      <c r="L335" s="3066" t="s">
        <v>4722</v>
      </c>
      <c r="M335" s="3066" t="s">
        <v>4723</v>
      </c>
      <c r="N335" s="3066">
        <v>37.6</v>
      </c>
      <c r="O335" s="3066" t="s">
        <v>3676</v>
      </c>
      <c r="P335" s="3066" t="s">
        <v>3566</v>
      </c>
      <c r="Q335" s="3066">
        <v>1</v>
      </c>
      <c r="R335" s="3066">
        <v>2286</v>
      </c>
      <c r="S335" s="3066" t="s">
        <v>3567</v>
      </c>
      <c r="T335" s="3066">
        <v>19</v>
      </c>
      <c r="U335" s="3066">
        <v>714.4</v>
      </c>
      <c r="V335" s="3066" t="s">
        <v>3560</v>
      </c>
      <c r="W335" s="3066" t="s">
        <v>3568</v>
      </c>
      <c r="X335" s="3066">
        <v>2.27</v>
      </c>
      <c r="Y335" s="3066">
        <v>1022.4</v>
      </c>
      <c r="Z335" s="3066" t="s">
        <v>3568</v>
      </c>
      <c r="AA335" s="3066" t="s">
        <v>3560</v>
      </c>
      <c r="AB335" s="3066" t="s">
        <v>3677</v>
      </c>
      <c r="AC335" s="3066" t="s">
        <v>3677</v>
      </c>
      <c r="AD335" s="3066" t="s">
        <v>3677</v>
      </c>
      <c r="AE335" s="3066" t="s">
        <v>3560</v>
      </c>
      <c r="AF335" s="3067">
        <v>714.4</v>
      </c>
      <c r="AG335" s="3066">
        <v>0</v>
      </c>
      <c r="AH335" s="3066">
        <v>85.2</v>
      </c>
      <c r="AI335" s="3066">
        <v>0</v>
      </c>
      <c r="AJ335" s="3066">
        <v>47.59</v>
      </c>
      <c r="AK335" s="3066">
        <v>0</v>
      </c>
      <c r="AL335" s="3066">
        <v>847.19</v>
      </c>
      <c r="AM335" s="3066">
        <v>0</v>
      </c>
      <c r="AN335" s="3066" t="s">
        <v>3560</v>
      </c>
      <c r="AP335" s="3068">
        <f t="shared" si="5"/>
        <v>19</v>
      </c>
    </row>
    <row r="336" spans="2:42" ht="27" customHeight="1">
      <c r="B336" s="3066">
        <v>344</v>
      </c>
      <c r="C336" s="3066" t="s">
        <v>3151</v>
      </c>
      <c r="D336" s="3066" t="s">
        <v>3972</v>
      </c>
      <c r="E336" s="3066" t="s">
        <v>4724</v>
      </c>
      <c r="F336" s="3066" t="s">
        <v>3917</v>
      </c>
      <c r="G336" s="3066" t="s">
        <v>3560</v>
      </c>
      <c r="H336" s="3066" t="s">
        <v>3560</v>
      </c>
      <c r="I336" s="3066" t="s">
        <v>3560</v>
      </c>
      <c r="J336" s="3066" t="s">
        <v>3560</v>
      </c>
      <c r="K336" s="3066" t="s">
        <v>3560</v>
      </c>
      <c r="L336" s="3066" t="s">
        <v>3560</v>
      </c>
      <c r="M336" s="3066" t="s">
        <v>4725</v>
      </c>
      <c r="N336" s="3066">
        <v>37.6</v>
      </c>
      <c r="O336" s="3066" t="s">
        <v>3560</v>
      </c>
      <c r="P336" s="3066" t="s">
        <v>3560</v>
      </c>
      <c r="Q336" s="3066">
        <v>0</v>
      </c>
      <c r="R336" s="3066">
        <v>0</v>
      </c>
      <c r="S336" s="3066" t="s">
        <v>3577</v>
      </c>
      <c r="T336" s="3066">
        <v>0</v>
      </c>
      <c r="U336" s="3066">
        <v>0</v>
      </c>
      <c r="V336" s="3066" t="s">
        <v>3560</v>
      </c>
      <c r="W336" s="3066" t="s">
        <v>3568</v>
      </c>
      <c r="X336" s="3066">
        <v>0</v>
      </c>
      <c r="Y336" s="3066">
        <v>0</v>
      </c>
      <c r="Z336" s="3066" t="s">
        <v>3568</v>
      </c>
      <c r="AA336" s="3066" t="s">
        <v>3560</v>
      </c>
      <c r="AB336" s="3066" t="s">
        <v>3560</v>
      </c>
      <c r="AC336" s="3066" t="s">
        <v>3560</v>
      </c>
      <c r="AD336" s="3066" t="s">
        <v>3560</v>
      </c>
      <c r="AE336" s="3066" t="s">
        <v>3560</v>
      </c>
      <c r="AF336" s="3067">
        <v>0</v>
      </c>
      <c r="AG336" s="3066">
        <v>0</v>
      </c>
      <c r="AH336" s="3066">
        <v>0</v>
      </c>
      <c r="AI336" s="3066">
        <v>0</v>
      </c>
      <c r="AJ336" s="3066">
        <v>0</v>
      </c>
      <c r="AK336" s="3066">
        <v>0</v>
      </c>
      <c r="AL336" s="3066">
        <v>0</v>
      </c>
      <c r="AM336" s="3066">
        <v>0</v>
      </c>
      <c r="AN336" s="3066" t="s">
        <v>3560</v>
      </c>
      <c r="AP336" s="3068">
        <f t="shared" si="5"/>
        <v>0</v>
      </c>
    </row>
    <row r="337" spans="2:42" ht="27" customHeight="1">
      <c r="B337" s="3066">
        <v>345</v>
      </c>
      <c r="C337" s="3066" t="s">
        <v>3151</v>
      </c>
      <c r="D337" s="3066" t="s">
        <v>3972</v>
      </c>
      <c r="E337" s="3066" t="s">
        <v>4726</v>
      </c>
      <c r="F337" s="3066" t="s">
        <v>3917</v>
      </c>
      <c r="G337" s="3066" t="s">
        <v>3560</v>
      </c>
      <c r="H337" s="3066" t="s">
        <v>3560</v>
      </c>
      <c r="I337" s="3066" t="s">
        <v>4727</v>
      </c>
      <c r="J337" s="3066" t="s">
        <v>3560</v>
      </c>
      <c r="K337" s="3066" t="s">
        <v>3560</v>
      </c>
      <c r="L337" s="3066" t="s">
        <v>4728</v>
      </c>
      <c r="M337" s="3066" t="s">
        <v>4729</v>
      </c>
      <c r="N337" s="3066">
        <v>37.6</v>
      </c>
      <c r="O337" s="3066" t="s">
        <v>3619</v>
      </c>
      <c r="P337" s="3066" t="s">
        <v>3566</v>
      </c>
      <c r="Q337" s="3066">
        <v>1</v>
      </c>
      <c r="R337" s="3066">
        <v>2286</v>
      </c>
      <c r="S337" s="3066" t="s">
        <v>3567</v>
      </c>
      <c r="T337" s="3066">
        <v>19</v>
      </c>
      <c r="U337" s="3066">
        <v>714.4</v>
      </c>
      <c r="V337" s="3066" t="s">
        <v>3560</v>
      </c>
      <c r="W337" s="3066" t="s">
        <v>3568</v>
      </c>
      <c r="X337" s="3066">
        <v>2.27</v>
      </c>
      <c r="Y337" s="3066">
        <v>1022.4</v>
      </c>
      <c r="Z337" s="3066" t="s">
        <v>3568</v>
      </c>
      <c r="AA337" s="3066" t="s">
        <v>3560</v>
      </c>
      <c r="AB337" s="3066" t="s">
        <v>3584</v>
      </c>
      <c r="AC337" s="3066" t="s">
        <v>3584</v>
      </c>
      <c r="AD337" s="3066" t="s">
        <v>3584</v>
      </c>
      <c r="AE337" s="3066" t="s">
        <v>3560</v>
      </c>
      <c r="AF337" s="3067">
        <v>714.4</v>
      </c>
      <c r="AG337" s="3066">
        <v>714.4</v>
      </c>
      <c r="AH337" s="3066">
        <v>85.2</v>
      </c>
      <c r="AI337" s="3066">
        <v>85.2</v>
      </c>
      <c r="AJ337" s="3066">
        <v>20.22</v>
      </c>
      <c r="AK337" s="3066">
        <v>20.22</v>
      </c>
      <c r="AL337" s="3066">
        <v>819.82</v>
      </c>
      <c r="AM337" s="3066">
        <v>819.82</v>
      </c>
      <c r="AN337" s="3066" t="s">
        <v>3560</v>
      </c>
      <c r="AP337" s="3068">
        <f t="shared" si="5"/>
        <v>19</v>
      </c>
    </row>
    <row r="338" spans="2:42" ht="27" customHeight="1">
      <c r="B338" s="3066">
        <v>346</v>
      </c>
      <c r="C338" s="3066" t="s">
        <v>3151</v>
      </c>
      <c r="D338" s="3066" t="s">
        <v>3972</v>
      </c>
      <c r="E338" s="3066" t="s">
        <v>4730</v>
      </c>
      <c r="F338" s="3066" t="s">
        <v>3917</v>
      </c>
      <c r="G338" s="3066" t="s">
        <v>3560</v>
      </c>
      <c r="H338" s="3066" t="s">
        <v>3560</v>
      </c>
      <c r="I338" s="3066" t="s">
        <v>4731</v>
      </c>
      <c r="J338" s="3066" t="s">
        <v>3560</v>
      </c>
      <c r="K338" s="3066" t="s">
        <v>3560</v>
      </c>
      <c r="L338" s="3066" t="s">
        <v>4732</v>
      </c>
      <c r="M338" s="3066" t="s">
        <v>4733</v>
      </c>
      <c r="N338" s="3066">
        <v>37.6</v>
      </c>
      <c r="O338" s="3066" t="s">
        <v>3619</v>
      </c>
      <c r="P338" s="3066" t="s">
        <v>3566</v>
      </c>
      <c r="Q338" s="3066">
        <v>1</v>
      </c>
      <c r="R338" s="3066">
        <v>2286</v>
      </c>
      <c r="S338" s="3066" t="s">
        <v>3567</v>
      </c>
      <c r="T338" s="3066">
        <v>19</v>
      </c>
      <c r="U338" s="3066">
        <v>714.4</v>
      </c>
      <c r="V338" s="3066" t="s">
        <v>3560</v>
      </c>
      <c r="W338" s="3066" t="s">
        <v>3568</v>
      </c>
      <c r="X338" s="3066">
        <v>2.27</v>
      </c>
      <c r="Y338" s="3066">
        <v>1022.4</v>
      </c>
      <c r="Z338" s="3066" t="s">
        <v>3568</v>
      </c>
      <c r="AA338" s="3066" t="s">
        <v>3560</v>
      </c>
      <c r="AB338" s="3066" t="s">
        <v>3584</v>
      </c>
      <c r="AC338" s="3066" t="s">
        <v>3584</v>
      </c>
      <c r="AD338" s="3066" t="s">
        <v>3584</v>
      </c>
      <c r="AE338" s="3066" t="s">
        <v>3560</v>
      </c>
      <c r="AF338" s="3067">
        <v>714.4</v>
      </c>
      <c r="AG338" s="3066">
        <v>714.4</v>
      </c>
      <c r="AH338" s="3066">
        <v>85.2</v>
      </c>
      <c r="AI338" s="3066">
        <v>85.2</v>
      </c>
      <c r="AJ338" s="3066">
        <v>29.66</v>
      </c>
      <c r="AK338" s="3066">
        <v>29.66</v>
      </c>
      <c r="AL338" s="3066">
        <v>829.26</v>
      </c>
      <c r="AM338" s="3066">
        <v>829.26</v>
      </c>
      <c r="AN338" s="3066" t="s">
        <v>3560</v>
      </c>
      <c r="AP338" s="3068">
        <f t="shared" si="5"/>
        <v>19</v>
      </c>
    </row>
    <row r="339" spans="2:42" ht="27" customHeight="1">
      <c r="B339" s="3066">
        <v>347</v>
      </c>
      <c r="C339" s="3066" t="s">
        <v>3151</v>
      </c>
      <c r="D339" s="3066" t="s">
        <v>3972</v>
      </c>
      <c r="E339" s="3066" t="s">
        <v>4734</v>
      </c>
      <c r="F339" s="3066" t="s">
        <v>3917</v>
      </c>
      <c r="G339" s="3066" t="s">
        <v>3560</v>
      </c>
      <c r="H339" s="3066" t="s">
        <v>3560</v>
      </c>
      <c r="I339" s="3066" t="s">
        <v>4735</v>
      </c>
      <c r="J339" s="3066" t="s">
        <v>3560</v>
      </c>
      <c r="K339" s="3066" t="s">
        <v>3560</v>
      </c>
      <c r="L339" s="3066" t="s">
        <v>4736</v>
      </c>
      <c r="M339" s="3066" t="s">
        <v>4737</v>
      </c>
      <c r="N339" s="3066">
        <v>37.6</v>
      </c>
      <c r="O339" s="3066" t="s">
        <v>3619</v>
      </c>
      <c r="P339" s="3066" t="s">
        <v>3566</v>
      </c>
      <c r="Q339" s="3066">
        <v>1</v>
      </c>
      <c r="R339" s="3066">
        <v>2286</v>
      </c>
      <c r="S339" s="3066" t="s">
        <v>3567</v>
      </c>
      <c r="T339" s="3066">
        <v>19</v>
      </c>
      <c r="U339" s="3066">
        <v>714.4</v>
      </c>
      <c r="V339" s="3066" t="s">
        <v>3560</v>
      </c>
      <c r="W339" s="3066" t="s">
        <v>3568</v>
      </c>
      <c r="X339" s="3066">
        <v>2.27</v>
      </c>
      <c r="Y339" s="3066">
        <v>1022.4</v>
      </c>
      <c r="Z339" s="3066" t="s">
        <v>3568</v>
      </c>
      <c r="AA339" s="3066" t="s">
        <v>3560</v>
      </c>
      <c r="AB339" s="3066" t="s">
        <v>3584</v>
      </c>
      <c r="AC339" s="3066" t="s">
        <v>3584</v>
      </c>
      <c r="AD339" s="3066" t="s">
        <v>3584</v>
      </c>
      <c r="AE339" s="3066" t="s">
        <v>3560</v>
      </c>
      <c r="AF339" s="3067">
        <v>714.4</v>
      </c>
      <c r="AG339" s="3066">
        <v>714.4</v>
      </c>
      <c r="AH339" s="3066">
        <v>85.2</v>
      </c>
      <c r="AI339" s="3066">
        <v>85.2</v>
      </c>
      <c r="AJ339" s="3066">
        <v>84.22</v>
      </c>
      <c r="AK339" s="3066">
        <v>84.22</v>
      </c>
      <c r="AL339" s="3066">
        <v>883.82</v>
      </c>
      <c r="AM339" s="3066">
        <v>883.82</v>
      </c>
      <c r="AN339" s="3066" t="s">
        <v>3560</v>
      </c>
      <c r="AP339" s="3068">
        <f t="shared" si="5"/>
        <v>19</v>
      </c>
    </row>
    <row r="340" spans="2:42" ht="27" customHeight="1">
      <c r="B340" s="3066">
        <v>348</v>
      </c>
      <c r="C340" s="3066" t="s">
        <v>3151</v>
      </c>
      <c r="D340" s="3066" t="s">
        <v>3972</v>
      </c>
      <c r="E340" s="3066" t="s">
        <v>4738</v>
      </c>
      <c r="F340" s="3066" t="s">
        <v>3917</v>
      </c>
      <c r="G340" s="3066" t="s">
        <v>3560</v>
      </c>
      <c r="H340" s="3066" t="s">
        <v>3560</v>
      </c>
      <c r="I340" s="3066" t="s">
        <v>4739</v>
      </c>
      <c r="J340" s="3066" t="s">
        <v>3560</v>
      </c>
      <c r="K340" s="3066" t="s">
        <v>3560</v>
      </c>
      <c r="L340" s="3066" t="s">
        <v>4740</v>
      </c>
      <c r="M340" s="3066" t="s">
        <v>4741</v>
      </c>
      <c r="N340" s="3066">
        <v>41.7</v>
      </c>
      <c r="O340" s="3066" t="s">
        <v>3619</v>
      </c>
      <c r="P340" s="3066" t="s">
        <v>3566</v>
      </c>
      <c r="Q340" s="3066">
        <v>1</v>
      </c>
      <c r="R340" s="3066">
        <v>2532</v>
      </c>
      <c r="S340" s="3066" t="s">
        <v>3567</v>
      </c>
      <c r="T340" s="3066">
        <v>19</v>
      </c>
      <c r="U340" s="3066">
        <v>792.3</v>
      </c>
      <c r="V340" s="3066" t="s">
        <v>3560</v>
      </c>
      <c r="W340" s="3066" t="s">
        <v>3568</v>
      </c>
      <c r="X340" s="3066">
        <v>2.2400000000000002</v>
      </c>
      <c r="Y340" s="3066">
        <v>1120.8</v>
      </c>
      <c r="Z340" s="3066" t="s">
        <v>3568</v>
      </c>
      <c r="AA340" s="3066" t="s">
        <v>3560</v>
      </c>
      <c r="AB340" s="3066" t="s">
        <v>3584</v>
      </c>
      <c r="AC340" s="3066" t="s">
        <v>3584</v>
      </c>
      <c r="AD340" s="3066" t="s">
        <v>3584</v>
      </c>
      <c r="AE340" s="3066" t="s">
        <v>3560</v>
      </c>
      <c r="AF340" s="3067">
        <v>792.3</v>
      </c>
      <c r="AG340" s="3066">
        <v>792.3</v>
      </c>
      <c r="AH340" s="3066">
        <v>93.4</v>
      </c>
      <c r="AI340" s="3066">
        <v>93.4</v>
      </c>
      <c r="AJ340" s="3066">
        <v>39.01</v>
      </c>
      <c r="AK340" s="3066">
        <v>39.01</v>
      </c>
      <c r="AL340" s="3066">
        <v>924.71</v>
      </c>
      <c r="AM340" s="3066">
        <v>924.71</v>
      </c>
      <c r="AN340" s="3066" t="s">
        <v>3560</v>
      </c>
      <c r="AP340" s="3068">
        <f t="shared" si="5"/>
        <v>18.999999999999996</v>
      </c>
    </row>
    <row r="341" spans="2:42" ht="27" customHeight="1">
      <c r="B341" s="3066">
        <v>349</v>
      </c>
      <c r="C341" s="3066" t="s">
        <v>3151</v>
      </c>
      <c r="D341" s="3066" t="s">
        <v>4209</v>
      </c>
      <c r="E341" s="3066" t="s">
        <v>4742</v>
      </c>
      <c r="F341" s="3066" t="s">
        <v>3917</v>
      </c>
      <c r="G341" s="3066" t="s">
        <v>1373</v>
      </c>
      <c r="H341" s="3066" t="s">
        <v>3560</v>
      </c>
      <c r="I341" s="3066" t="s">
        <v>3727</v>
      </c>
      <c r="J341" s="3066" t="s">
        <v>3728</v>
      </c>
      <c r="K341" s="3066" t="s">
        <v>3560</v>
      </c>
      <c r="L341" s="3066" t="s">
        <v>3729</v>
      </c>
      <c r="M341" s="3066" t="s">
        <v>4743</v>
      </c>
      <c r="N341" s="3066">
        <v>455.3</v>
      </c>
      <c r="O341" s="3066" t="s">
        <v>3583</v>
      </c>
      <c r="P341" s="3066" t="s">
        <v>3566</v>
      </c>
      <c r="Q341" s="3066">
        <v>0</v>
      </c>
      <c r="R341" s="3066">
        <v>27318</v>
      </c>
      <c r="S341" s="3066" t="s">
        <v>3567</v>
      </c>
      <c r="T341" s="3066">
        <v>18</v>
      </c>
      <c r="U341" s="3066">
        <v>8195.4</v>
      </c>
      <c r="V341" s="3066" t="s">
        <v>3560</v>
      </c>
      <c r="W341" s="3066" t="s">
        <v>3568</v>
      </c>
      <c r="X341" s="3066">
        <v>2</v>
      </c>
      <c r="Y341" s="3066">
        <v>10927.2</v>
      </c>
      <c r="Z341" s="3066" t="s">
        <v>3568</v>
      </c>
      <c r="AA341" s="3066" t="s">
        <v>3560</v>
      </c>
      <c r="AB341" s="3066" t="s">
        <v>3584</v>
      </c>
      <c r="AC341" s="3066" t="s">
        <v>3584</v>
      </c>
      <c r="AD341" s="3066" t="s">
        <v>3584</v>
      </c>
      <c r="AE341" s="3066" t="s">
        <v>3560</v>
      </c>
      <c r="AF341" s="3067">
        <v>8195.4</v>
      </c>
      <c r="AG341" s="3066">
        <v>0</v>
      </c>
      <c r="AH341" s="3066">
        <v>910.6</v>
      </c>
      <c r="AI341" s="3066">
        <v>0</v>
      </c>
      <c r="AJ341" s="3066">
        <v>8050.14</v>
      </c>
      <c r="AK341" s="3066">
        <v>0</v>
      </c>
      <c r="AL341" s="3066">
        <v>17156.14</v>
      </c>
      <c r="AM341" s="3066">
        <v>0</v>
      </c>
      <c r="AN341" s="3066" t="s">
        <v>3560</v>
      </c>
      <c r="AP341" s="3068">
        <f t="shared" si="5"/>
        <v>18</v>
      </c>
    </row>
    <row r="342" spans="2:42" ht="27" customHeight="1">
      <c r="B342" s="3066">
        <v>350</v>
      </c>
      <c r="C342" s="3066" t="s">
        <v>3151</v>
      </c>
      <c r="D342" s="3066" t="s">
        <v>3901</v>
      </c>
      <c r="E342" s="3066" t="s">
        <v>4744</v>
      </c>
      <c r="F342" s="3066" t="s">
        <v>3917</v>
      </c>
      <c r="G342" s="3066" t="s">
        <v>1373</v>
      </c>
      <c r="H342" s="3066" t="s">
        <v>3560</v>
      </c>
      <c r="I342" s="3066" t="s">
        <v>3657</v>
      </c>
      <c r="J342" s="3066" t="s">
        <v>3658</v>
      </c>
      <c r="K342" s="3066" t="s">
        <v>3560</v>
      </c>
      <c r="L342" s="3066" t="s">
        <v>3659</v>
      </c>
      <c r="M342" s="3066" t="s">
        <v>4745</v>
      </c>
      <c r="N342" s="3066">
        <v>37.6</v>
      </c>
      <c r="O342" s="3066" t="s">
        <v>3583</v>
      </c>
      <c r="P342" s="3066" t="s">
        <v>3566</v>
      </c>
      <c r="Q342" s="3066">
        <v>0</v>
      </c>
      <c r="R342" s="3066">
        <v>300.8</v>
      </c>
      <c r="S342" s="3066" t="s">
        <v>3567</v>
      </c>
      <c r="T342" s="3066">
        <v>18</v>
      </c>
      <c r="U342" s="3066">
        <v>676.8</v>
      </c>
      <c r="V342" s="3066" t="s">
        <v>3560</v>
      </c>
      <c r="W342" s="3066" t="s">
        <v>3568</v>
      </c>
      <c r="X342" s="3066">
        <v>2</v>
      </c>
      <c r="Y342" s="3066">
        <v>902.4</v>
      </c>
      <c r="Z342" s="3066" t="s">
        <v>3568</v>
      </c>
      <c r="AA342" s="3066" t="s">
        <v>3560</v>
      </c>
      <c r="AB342" s="3066" t="s">
        <v>3584</v>
      </c>
      <c r="AC342" s="3066" t="s">
        <v>3584</v>
      </c>
      <c r="AD342" s="3066" t="s">
        <v>3584</v>
      </c>
      <c r="AE342" s="3066" t="s">
        <v>3560</v>
      </c>
      <c r="AF342" s="3067">
        <v>676.8</v>
      </c>
      <c r="AG342" s="3066">
        <v>676.8</v>
      </c>
      <c r="AH342" s="3066">
        <v>75.2</v>
      </c>
      <c r="AI342" s="3066">
        <v>75.2</v>
      </c>
      <c r="AJ342" s="3066">
        <v>257.57</v>
      </c>
      <c r="AK342" s="3066">
        <v>257.57</v>
      </c>
      <c r="AL342" s="3066">
        <v>1009.57</v>
      </c>
      <c r="AM342" s="3066">
        <v>1009.57</v>
      </c>
      <c r="AN342" s="3066" t="s">
        <v>3560</v>
      </c>
      <c r="AP342" s="3068">
        <f t="shared" si="5"/>
        <v>17.999999999999996</v>
      </c>
    </row>
    <row r="343" spans="2:42" ht="27" customHeight="1">
      <c r="B343" s="3066">
        <v>351</v>
      </c>
      <c r="C343" s="3066" t="s">
        <v>3151</v>
      </c>
      <c r="D343" s="3066" t="s">
        <v>3901</v>
      </c>
      <c r="E343" s="3066" t="s">
        <v>4746</v>
      </c>
      <c r="F343" s="3066" t="s">
        <v>3917</v>
      </c>
      <c r="G343" s="3066" t="s">
        <v>3560</v>
      </c>
      <c r="H343" s="3066" t="s">
        <v>3560</v>
      </c>
      <c r="I343" s="3066" t="s">
        <v>3560</v>
      </c>
      <c r="J343" s="3066" t="s">
        <v>3560</v>
      </c>
      <c r="K343" s="3066" t="s">
        <v>3560</v>
      </c>
      <c r="L343" s="3066" t="s">
        <v>3560</v>
      </c>
      <c r="M343" s="3066" t="s">
        <v>4747</v>
      </c>
      <c r="N343" s="3066">
        <v>37.6</v>
      </c>
      <c r="O343" s="3066" t="s">
        <v>3560</v>
      </c>
      <c r="P343" s="3066" t="s">
        <v>3560</v>
      </c>
      <c r="Q343" s="3066">
        <v>0</v>
      </c>
      <c r="R343" s="3066">
        <v>0</v>
      </c>
      <c r="S343" s="3066" t="s">
        <v>3577</v>
      </c>
      <c r="T343" s="3066">
        <v>0</v>
      </c>
      <c r="U343" s="3066">
        <v>0</v>
      </c>
      <c r="V343" s="3066" t="s">
        <v>3560</v>
      </c>
      <c r="W343" s="3066" t="s">
        <v>3568</v>
      </c>
      <c r="X343" s="3066">
        <v>0</v>
      </c>
      <c r="Y343" s="3066">
        <v>0</v>
      </c>
      <c r="Z343" s="3066" t="s">
        <v>3568</v>
      </c>
      <c r="AA343" s="3066" t="s">
        <v>3560</v>
      </c>
      <c r="AB343" s="3066" t="s">
        <v>3560</v>
      </c>
      <c r="AC343" s="3066" t="s">
        <v>3560</v>
      </c>
      <c r="AD343" s="3066" t="s">
        <v>3560</v>
      </c>
      <c r="AE343" s="3066" t="s">
        <v>3560</v>
      </c>
      <c r="AF343" s="3067">
        <v>0</v>
      </c>
      <c r="AG343" s="3066">
        <v>0</v>
      </c>
      <c r="AH343" s="3066">
        <v>0</v>
      </c>
      <c r="AI343" s="3066">
        <v>0</v>
      </c>
      <c r="AJ343" s="3066">
        <v>0</v>
      </c>
      <c r="AK343" s="3066">
        <v>0</v>
      </c>
      <c r="AL343" s="3066">
        <v>0</v>
      </c>
      <c r="AM343" s="3066">
        <v>0</v>
      </c>
      <c r="AN343" s="3066" t="s">
        <v>3560</v>
      </c>
      <c r="AP343" s="3068">
        <f t="shared" si="5"/>
        <v>0</v>
      </c>
    </row>
    <row r="344" spans="2:42" ht="27" customHeight="1">
      <c r="B344" s="3066">
        <v>352</v>
      </c>
      <c r="C344" s="3066" t="s">
        <v>3151</v>
      </c>
      <c r="D344" s="3066" t="s">
        <v>3901</v>
      </c>
      <c r="E344" s="3066" t="s">
        <v>4748</v>
      </c>
      <c r="F344" s="3066" t="s">
        <v>3917</v>
      </c>
      <c r="G344" s="3066" t="s">
        <v>1373</v>
      </c>
      <c r="H344" s="3066" t="s">
        <v>3560</v>
      </c>
      <c r="I344" s="3066" t="s">
        <v>4749</v>
      </c>
      <c r="J344" s="3066" t="s">
        <v>3560</v>
      </c>
      <c r="K344" s="3066" t="s">
        <v>3560</v>
      </c>
      <c r="L344" s="3066" t="s">
        <v>4750</v>
      </c>
      <c r="M344" s="3066" t="s">
        <v>4751</v>
      </c>
      <c r="N344" s="3066">
        <v>37.6</v>
      </c>
      <c r="O344" s="3066" t="s">
        <v>3676</v>
      </c>
      <c r="P344" s="3066" t="s">
        <v>3566</v>
      </c>
      <c r="Q344" s="3066">
        <v>1</v>
      </c>
      <c r="R344" s="3066">
        <v>3810</v>
      </c>
      <c r="S344" s="3066" t="s">
        <v>3567</v>
      </c>
      <c r="T344" s="3066">
        <v>18</v>
      </c>
      <c r="U344" s="3066">
        <v>676.8</v>
      </c>
      <c r="V344" s="3066" t="s">
        <v>3560</v>
      </c>
      <c r="W344" s="3066" t="s">
        <v>3568</v>
      </c>
      <c r="X344" s="3066">
        <v>2.27</v>
      </c>
      <c r="Y344" s="3066">
        <v>1022.4</v>
      </c>
      <c r="Z344" s="3066" t="s">
        <v>3568</v>
      </c>
      <c r="AA344" s="3066" t="s">
        <v>3560</v>
      </c>
      <c r="AB344" s="3066" t="s">
        <v>3677</v>
      </c>
      <c r="AC344" s="3066" t="s">
        <v>3677</v>
      </c>
      <c r="AD344" s="3066" t="s">
        <v>3677</v>
      </c>
      <c r="AE344" s="3066" t="s">
        <v>3560</v>
      </c>
      <c r="AF344" s="3067">
        <v>676.8</v>
      </c>
      <c r="AG344" s="3066">
        <v>676.8</v>
      </c>
      <c r="AH344" s="3066">
        <v>85.2</v>
      </c>
      <c r="AI344" s="3066">
        <v>85.2</v>
      </c>
      <c r="AJ344" s="3066">
        <v>64.17</v>
      </c>
      <c r="AK344" s="3066">
        <v>64.17</v>
      </c>
      <c r="AL344" s="3066">
        <v>826.17</v>
      </c>
      <c r="AM344" s="3066">
        <v>826.17</v>
      </c>
      <c r="AN344" s="3066" t="s">
        <v>3560</v>
      </c>
      <c r="AP344" s="3068">
        <f t="shared" si="5"/>
        <v>17.999999999999996</v>
      </c>
    </row>
    <row r="345" spans="2:42" ht="27" customHeight="1">
      <c r="B345" s="3066">
        <v>353</v>
      </c>
      <c r="C345" s="3066" t="s">
        <v>3151</v>
      </c>
      <c r="D345" s="3066" t="s">
        <v>3901</v>
      </c>
      <c r="E345" s="3066" t="s">
        <v>4752</v>
      </c>
      <c r="F345" s="3066" t="s">
        <v>3917</v>
      </c>
      <c r="G345" s="3066" t="s">
        <v>3560</v>
      </c>
      <c r="H345" s="3066" t="s">
        <v>3560</v>
      </c>
      <c r="I345" s="3066" t="s">
        <v>4753</v>
      </c>
      <c r="J345" s="3066" t="s">
        <v>4753</v>
      </c>
      <c r="K345" s="3066" t="s">
        <v>3560</v>
      </c>
      <c r="L345" s="3066" t="s">
        <v>4754</v>
      </c>
      <c r="M345" s="3066" t="s">
        <v>4755</v>
      </c>
      <c r="N345" s="3066">
        <v>37.6</v>
      </c>
      <c r="O345" s="3066" t="s">
        <v>4488</v>
      </c>
      <c r="P345" s="3066" t="s">
        <v>3566</v>
      </c>
      <c r="Q345" s="3066">
        <v>1</v>
      </c>
      <c r="R345" s="3066">
        <v>3810</v>
      </c>
      <c r="S345" s="3066" t="s">
        <v>3567</v>
      </c>
      <c r="T345" s="3066">
        <v>18</v>
      </c>
      <c r="U345" s="3066">
        <v>676.8</v>
      </c>
      <c r="V345" s="3066" t="s">
        <v>3560</v>
      </c>
      <c r="W345" s="3066" t="s">
        <v>3568</v>
      </c>
      <c r="X345" s="3066">
        <v>2.27</v>
      </c>
      <c r="Y345" s="3066">
        <v>1022.4</v>
      </c>
      <c r="Z345" s="3066" t="s">
        <v>3568</v>
      </c>
      <c r="AA345" s="3066" t="s">
        <v>3560</v>
      </c>
      <c r="AB345" s="3066" t="s">
        <v>4489</v>
      </c>
      <c r="AC345" s="3066" t="s">
        <v>4489</v>
      </c>
      <c r="AD345" s="3066" t="s">
        <v>4489</v>
      </c>
      <c r="AE345" s="3066" t="s">
        <v>3560</v>
      </c>
      <c r="AF345" s="3067">
        <v>676.8</v>
      </c>
      <c r="AG345" s="3066">
        <v>676.8</v>
      </c>
      <c r="AH345" s="3066">
        <v>85.2</v>
      </c>
      <c r="AI345" s="3066">
        <v>85.2</v>
      </c>
      <c r="AJ345" s="3066">
        <v>83.03</v>
      </c>
      <c r="AK345" s="3066">
        <v>83.03</v>
      </c>
      <c r="AL345" s="3066">
        <v>845.03</v>
      </c>
      <c r="AM345" s="3066">
        <v>845.03</v>
      </c>
      <c r="AN345" s="3066" t="s">
        <v>3560</v>
      </c>
      <c r="AP345" s="3068">
        <f t="shared" si="5"/>
        <v>17.999999999999996</v>
      </c>
    </row>
    <row r="346" spans="2:42" ht="27" customHeight="1">
      <c r="B346" s="3066">
        <v>354</v>
      </c>
      <c r="C346" s="3066" t="s">
        <v>3151</v>
      </c>
      <c r="D346" s="3066" t="s">
        <v>3901</v>
      </c>
      <c r="E346" s="3066" t="s">
        <v>4756</v>
      </c>
      <c r="F346" s="3066" t="s">
        <v>3917</v>
      </c>
      <c r="G346" s="3066" t="s">
        <v>3560</v>
      </c>
      <c r="H346" s="3066" t="s">
        <v>3560</v>
      </c>
      <c r="I346" s="3066" t="s">
        <v>3560</v>
      </c>
      <c r="J346" s="3066" t="s">
        <v>3560</v>
      </c>
      <c r="K346" s="3066" t="s">
        <v>3560</v>
      </c>
      <c r="L346" s="3066" t="s">
        <v>3560</v>
      </c>
      <c r="M346" s="3066" t="s">
        <v>4757</v>
      </c>
      <c r="N346" s="3066">
        <v>37.6</v>
      </c>
      <c r="O346" s="3066" t="s">
        <v>3560</v>
      </c>
      <c r="P346" s="3066" t="s">
        <v>3560</v>
      </c>
      <c r="Q346" s="3066">
        <v>0</v>
      </c>
      <c r="R346" s="3066">
        <v>0</v>
      </c>
      <c r="S346" s="3066" t="s">
        <v>3577</v>
      </c>
      <c r="T346" s="3066">
        <v>0</v>
      </c>
      <c r="U346" s="3066">
        <v>0</v>
      </c>
      <c r="V346" s="3066" t="s">
        <v>3560</v>
      </c>
      <c r="W346" s="3066" t="s">
        <v>3568</v>
      </c>
      <c r="X346" s="3066">
        <v>0</v>
      </c>
      <c r="Y346" s="3066">
        <v>0</v>
      </c>
      <c r="Z346" s="3066" t="s">
        <v>3568</v>
      </c>
      <c r="AA346" s="3066" t="s">
        <v>3560</v>
      </c>
      <c r="AB346" s="3066" t="s">
        <v>3560</v>
      </c>
      <c r="AC346" s="3066" t="s">
        <v>3560</v>
      </c>
      <c r="AD346" s="3066" t="s">
        <v>3560</v>
      </c>
      <c r="AE346" s="3066" t="s">
        <v>3560</v>
      </c>
      <c r="AF346" s="3067">
        <v>0</v>
      </c>
      <c r="AG346" s="3066">
        <v>0</v>
      </c>
      <c r="AH346" s="3066">
        <v>0</v>
      </c>
      <c r="AI346" s="3066">
        <v>0</v>
      </c>
      <c r="AJ346" s="3066">
        <v>0</v>
      </c>
      <c r="AK346" s="3066">
        <v>0</v>
      </c>
      <c r="AL346" s="3066">
        <v>0</v>
      </c>
      <c r="AM346" s="3066">
        <v>0</v>
      </c>
      <c r="AN346" s="3066" t="s">
        <v>3560</v>
      </c>
      <c r="AP346" s="3068">
        <f t="shared" si="5"/>
        <v>0</v>
      </c>
    </row>
    <row r="347" spans="2:42" ht="27" customHeight="1">
      <c r="B347" s="3066">
        <v>355</v>
      </c>
      <c r="C347" s="3066" t="s">
        <v>3151</v>
      </c>
      <c r="D347" s="3066" t="s">
        <v>3901</v>
      </c>
      <c r="E347" s="3066" t="s">
        <v>4758</v>
      </c>
      <c r="F347" s="3066" t="s">
        <v>3917</v>
      </c>
      <c r="G347" s="3066" t="s">
        <v>3560</v>
      </c>
      <c r="H347" s="3066" t="s">
        <v>3560</v>
      </c>
      <c r="I347" s="3066" t="s">
        <v>3560</v>
      </c>
      <c r="J347" s="3066" t="s">
        <v>3560</v>
      </c>
      <c r="K347" s="3066" t="s">
        <v>3560</v>
      </c>
      <c r="L347" s="3066" t="s">
        <v>3560</v>
      </c>
      <c r="M347" s="3066" t="s">
        <v>4759</v>
      </c>
      <c r="N347" s="3066">
        <v>37.6</v>
      </c>
      <c r="O347" s="3066" t="s">
        <v>3560</v>
      </c>
      <c r="P347" s="3066" t="s">
        <v>3560</v>
      </c>
      <c r="Q347" s="3066">
        <v>0</v>
      </c>
      <c r="R347" s="3066">
        <v>0</v>
      </c>
      <c r="S347" s="3066" t="s">
        <v>3577</v>
      </c>
      <c r="T347" s="3066">
        <v>0</v>
      </c>
      <c r="U347" s="3066">
        <v>0</v>
      </c>
      <c r="V347" s="3066" t="s">
        <v>3560</v>
      </c>
      <c r="W347" s="3066" t="s">
        <v>3568</v>
      </c>
      <c r="X347" s="3066">
        <v>0</v>
      </c>
      <c r="Y347" s="3066">
        <v>0</v>
      </c>
      <c r="Z347" s="3066" t="s">
        <v>3568</v>
      </c>
      <c r="AA347" s="3066" t="s">
        <v>3560</v>
      </c>
      <c r="AB347" s="3066" t="s">
        <v>3560</v>
      </c>
      <c r="AC347" s="3066" t="s">
        <v>3560</v>
      </c>
      <c r="AD347" s="3066" t="s">
        <v>3560</v>
      </c>
      <c r="AE347" s="3066" t="s">
        <v>3560</v>
      </c>
      <c r="AF347" s="3067">
        <v>0</v>
      </c>
      <c r="AG347" s="3066">
        <v>0</v>
      </c>
      <c r="AH347" s="3066">
        <v>0</v>
      </c>
      <c r="AI347" s="3066">
        <v>0</v>
      </c>
      <c r="AJ347" s="3066">
        <v>0</v>
      </c>
      <c r="AK347" s="3066">
        <v>0</v>
      </c>
      <c r="AL347" s="3066">
        <v>0</v>
      </c>
      <c r="AM347" s="3066">
        <v>0</v>
      </c>
      <c r="AN347" s="3066" t="s">
        <v>3560</v>
      </c>
      <c r="AP347" s="3068">
        <f t="shared" si="5"/>
        <v>0</v>
      </c>
    </row>
    <row r="348" spans="2:42" ht="27" customHeight="1">
      <c r="B348" s="3066">
        <v>356</v>
      </c>
      <c r="C348" s="3066" t="s">
        <v>3151</v>
      </c>
      <c r="D348" s="3066" t="s">
        <v>3901</v>
      </c>
      <c r="E348" s="3066" t="s">
        <v>4760</v>
      </c>
      <c r="F348" s="3066" t="s">
        <v>3917</v>
      </c>
      <c r="G348" s="3066" t="s">
        <v>1373</v>
      </c>
      <c r="H348" s="3066" t="s">
        <v>3560</v>
      </c>
      <c r="I348" s="3066" t="s">
        <v>4761</v>
      </c>
      <c r="J348" s="3066" t="s">
        <v>4761</v>
      </c>
      <c r="K348" s="3066" t="s">
        <v>3560</v>
      </c>
      <c r="L348" s="3066" t="s">
        <v>4762</v>
      </c>
      <c r="M348" s="3066" t="s">
        <v>4763</v>
      </c>
      <c r="N348" s="3066">
        <v>37.6</v>
      </c>
      <c r="O348" s="3066" t="s">
        <v>4488</v>
      </c>
      <c r="P348" s="3066" t="s">
        <v>3566</v>
      </c>
      <c r="Q348" s="3066">
        <v>1</v>
      </c>
      <c r="R348" s="3066">
        <v>2031</v>
      </c>
      <c r="S348" s="3066" t="s">
        <v>3567</v>
      </c>
      <c r="T348" s="3066">
        <v>18</v>
      </c>
      <c r="U348" s="3066">
        <v>676.8</v>
      </c>
      <c r="V348" s="3066" t="s">
        <v>3560</v>
      </c>
      <c r="W348" s="3066" t="s">
        <v>3568</v>
      </c>
      <c r="X348" s="3066">
        <v>2.27</v>
      </c>
      <c r="Y348" s="3066">
        <v>1022.4</v>
      </c>
      <c r="Z348" s="3066" t="s">
        <v>3568</v>
      </c>
      <c r="AA348" s="3066" t="s">
        <v>3560</v>
      </c>
      <c r="AB348" s="3066" t="s">
        <v>4489</v>
      </c>
      <c r="AC348" s="3066" t="s">
        <v>4489</v>
      </c>
      <c r="AD348" s="3066" t="s">
        <v>4489</v>
      </c>
      <c r="AE348" s="3066" t="s">
        <v>3560</v>
      </c>
      <c r="AF348" s="3067">
        <v>0</v>
      </c>
      <c r="AG348" s="3066">
        <v>0</v>
      </c>
      <c r="AH348" s="3066">
        <v>0</v>
      </c>
      <c r="AI348" s="3066">
        <v>0</v>
      </c>
      <c r="AJ348" s="3066">
        <v>33.14</v>
      </c>
      <c r="AK348" s="3066">
        <v>0</v>
      </c>
      <c r="AL348" s="3066">
        <v>33.14</v>
      </c>
      <c r="AM348" s="3066">
        <v>0</v>
      </c>
      <c r="AN348" s="3066" t="s">
        <v>3560</v>
      </c>
      <c r="AP348" s="3068">
        <f t="shared" si="5"/>
        <v>0</v>
      </c>
    </row>
    <row r="349" spans="2:42" ht="27" customHeight="1">
      <c r="B349" s="3066">
        <v>357</v>
      </c>
      <c r="C349" s="3066" t="s">
        <v>3151</v>
      </c>
      <c r="D349" s="3066" t="s">
        <v>3901</v>
      </c>
      <c r="E349" s="3066" t="s">
        <v>4764</v>
      </c>
      <c r="F349" s="3066" t="s">
        <v>3917</v>
      </c>
      <c r="G349" s="3066" t="s">
        <v>3560</v>
      </c>
      <c r="H349" s="3066" t="s">
        <v>3560</v>
      </c>
      <c r="I349" s="3066" t="s">
        <v>3560</v>
      </c>
      <c r="J349" s="3066" t="s">
        <v>3560</v>
      </c>
      <c r="K349" s="3066" t="s">
        <v>3560</v>
      </c>
      <c r="L349" s="3066" t="s">
        <v>3560</v>
      </c>
      <c r="M349" s="3066" t="s">
        <v>4765</v>
      </c>
      <c r="N349" s="3066">
        <v>37.6</v>
      </c>
      <c r="O349" s="3066" t="s">
        <v>3560</v>
      </c>
      <c r="P349" s="3066" t="s">
        <v>3560</v>
      </c>
      <c r="Q349" s="3066">
        <v>0</v>
      </c>
      <c r="R349" s="3066">
        <v>0</v>
      </c>
      <c r="S349" s="3066" t="s">
        <v>3577</v>
      </c>
      <c r="T349" s="3066">
        <v>0</v>
      </c>
      <c r="U349" s="3066">
        <v>0</v>
      </c>
      <c r="V349" s="3066" t="s">
        <v>3560</v>
      </c>
      <c r="W349" s="3066" t="s">
        <v>3568</v>
      </c>
      <c r="X349" s="3066">
        <v>0</v>
      </c>
      <c r="Y349" s="3066">
        <v>0</v>
      </c>
      <c r="Z349" s="3066" t="s">
        <v>3568</v>
      </c>
      <c r="AA349" s="3066" t="s">
        <v>3560</v>
      </c>
      <c r="AB349" s="3066" t="s">
        <v>3560</v>
      </c>
      <c r="AC349" s="3066" t="s">
        <v>3560</v>
      </c>
      <c r="AD349" s="3066" t="s">
        <v>3560</v>
      </c>
      <c r="AE349" s="3066" t="s">
        <v>3560</v>
      </c>
      <c r="AF349" s="3067">
        <v>0</v>
      </c>
      <c r="AG349" s="3066">
        <v>0</v>
      </c>
      <c r="AH349" s="3066">
        <v>0</v>
      </c>
      <c r="AI349" s="3066">
        <v>0</v>
      </c>
      <c r="AJ349" s="3066">
        <v>0</v>
      </c>
      <c r="AK349" s="3066">
        <v>0</v>
      </c>
      <c r="AL349" s="3066">
        <v>0</v>
      </c>
      <c r="AM349" s="3066">
        <v>0</v>
      </c>
      <c r="AN349" s="3066" t="s">
        <v>3560</v>
      </c>
      <c r="AP349" s="3068">
        <f t="shared" si="5"/>
        <v>0</v>
      </c>
    </row>
    <row r="350" spans="2:42" ht="27" customHeight="1">
      <c r="B350" s="3066">
        <v>358</v>
      </c>
      <c r="C350" s="3066" t="s">
        <v>3151</v>
      </c>
      <c r="D350" s="3066" t="s">
        <v>3901</v>
      </c>
      <c r="E350" s="3066" t="s">
        <v>4766</v>
      </c>
      <c r="F350" s="3066" t="s">
        <v>3917</v>
      </c>
      <c r="G350" s="3066" t="s">
        <v>1373</v>
      </c>
      <c r="H350" s="3066" t="s">
        <v>3560</v>
      </c>
      <c r="I350" s="3066" t="s">
        <v>4767</v>
      </c>
      <c r="J350" s="3066" t="s">
        <v>4767</v>
      </c>
      <c r="K350" s="3066" t="s">
        <v>3560</v>
      </c>
      <c r="L350" s="3066" t="s">
        <v>4768</v>
      </c>
      <c r="M350" s="3066" t="s">
        <v>4769</v>
      </c>
      <c r="N350" s="3066">
        <v>37.6</v>
      </c>
      <c r="O350" s="3066" t="s">
        <v>3619</v>
      </c>
      <c r="P350" s="3066" t="s">
        <v>3566</v>
      </c>
      <c r="Q350" s="3066">
        <v>1</v>
      </c>
      <c r="R350" s="3066">
        <v>3385</v>
      </c>
      <c r="S350" s="3066" t="s">
        <v>3567</v>
      </c>
      <c r="T350" s="3066">
        <v>19</v>
      </c>
      <c r="U350" s="3066">
        <v>714.4</v>
      </c>
      <c r="V350" s="3066" t="s">
        <v>3560</v>
      </c>
      <c r="W350" s="3066" t="s">
        <v>3568</v>
      </c>
      <c r="X350" s="3066">
        <v>2.27</v>
      </c>
      <c r="Y350" s="3066">
        <v>1022.4</v>
      </c>
      <c r="Z350" s="3066" t="s">
        <v>3568</v>
      </c>
      <c r="AA350" s="3066" t="s">
        <v>3560</v>
      </c>
      <c r="AB350" s="3066" t="s">
        <v>3584</v>
      </c>
      <c r="AC350" s="3066" t="s">
        <v>3584</v>
      </c>
      <c r="AD350" s="3066" t="s">
        <v>3584</v>
      </c>
      <c r="AE350" s="3066" t="s">
        <v>3560</v>
      </c>
      <c r="AF350" s="3067">
        <v>714.4</v>
      </c>
      <c r="AG350" s="3066">
        <v>0</v>
      </c>
      <c r="AH350" s="3066">
        <v>85.2</v>
      </c>
      <c r="AI350" s="3066">
        <v>0</v>
      </c>
      <c r="AJ350" s="3066">
        <v>153.22999999999999</v>
      </c>
      <c r="AK350" s="3066">
        <v>0</v>
      </c>
      <c r="AL350" s="3066">
        <v>952.83</v>
      </c>
      <c r="AM350" s="3066">
        <v>0</v>
      </c>
      <c r="AN350" s="3066" t="s">
        <v>3560</v>
      </c>
      <c r="AP350" s="3068">
        <f t="shared" si="5"/>
        <v>19</v>
      </c>
    </row>
    <row r="351" spans="2:42" ht="27" customHeight="1">
      <c r="B351" s="3066">
        <v>359</v>
      </c>
      <c r="C351" s="3066" t="s">
        <v>3151</v>
      </c>
      <c r="D351" s="3066" t="s">
        <v>3901</v>
      </c>
      <c r="E351" s="3066" t="s">
        <v>4770</v>
      </c>
      <c r="F351" s="3066" t="s">
        <v>3917</v>
      </c>
      <c r="G351" s="3066" t="s">
        <v>3560</v>
      </c>
      <c r="H351" s="3066" t="s">
        <v>3560</v>
      </c>
      <c r="I351" s="3066" t="s">
        <v>3560</v>
      </c>
      <c r="J351" s="3066" t="s">
        <v>3560</v>
      </c>
      <c r="K351" s="3066" t="s">
        <v>3560</v>
      </c>
      <c r="L351" s="3066" t="s">
        <v>3560</v>
      </c>
      <c r="M351" s="3066" t="s">
        <v>4771</v>
      </c>
      <c r="N351" s="3066">
        <v>37.6</v>
      </c>
      <c r="O351" s="3066" t="s">
        <v>3560</v>
      </c>
      <c r="P351" s="3066" t="s">
        <v>3560</v>
      </c>
      <c r="Q351" s="3066">
        <v>0</v>
      </c>
      <c r="R351" s="3066">
        <v>0</v>
      </c>
      <c r="S351" s="3066" t="s">
        <v>3577</v>
      </c>
      <c r="T351" s="3066">
        <v>0</v>
      </c>
      <c r="U351" s="3066">
        <v>0</v>
      </c>
      <c r="V351" s="3066" t="s">
        <v>3560</v>
      </c>
      <c r="W351" s="3066" t="s">
        <v>3568</v>
      </c>
      <c r="X351" s="3066">
        <v>0</v>
      </c>
      <c r="Y351" s="3066">
        <v>0</v>
      </c>
      <c r="Z351" s="3066" t="s">
        <v>3568</v>
      </c>
      <c r="AA351" s="3066" t="s">
        <v>3560</v>
      </c>
      <c r="AB351" s="3066" t="s">
        <v>3560</v>
      </c>
      <c r="AC351" s="3066" t="s">
        <v>3560</v>
      </c>
      <c r="AD351" s="3066" t="s">
        <v>3560</v>
      </c>
      <c r="AE351" s="3066" t="s">
        <v>3560</v>
      </c>
      <c r="AF351" s="3067">
        <v>0</v>
      </c>
      <c r="AG351" s="3066">
        <v>0</v>
      </c>
      <c r="AH351" s="3066">
        <v>0</v>
      </c>
      <c r="AI351" s="3066">
        <v>0</v>
      </c>
      <c r="AJ351" s="3066">
        <v>0</v>
      </c>
      <c r="AK351" s="3066">
        <v>0</v>
      </c>
      <c r="AL351" s="3066">
        <v>0</v>
      </c>
      <c r="AM351" s="3066">
        <v>0</v>
      </c>
      <c r="AN351" s="3066" t="s">
        <v>3560</v>
      </c>
      <c r="AP351" s="3068">
        <f t="shared" si="5"/>
        <v>0</v>
      </c>
    </row>
    <row r="352" spans="2:42" ht="27" customHeight="1">
      <c r="B352" s="3066">
        <v>360</v>
      </c>
      <c r="C352" s="3066" t="s">
        <v>3151</v>
      </c>
      <c r="D352" s="3066" t="s">
        <v>3901</v>
      </c>
      <c r="E352" s="3066" t="s">
        <v>4772</v>
      </c>
      <c r="F352" s="3066" t="s">
        <v>3917</v>
      </c>
      <c r="G352" s="3066" t="s">
        <v>3560</v>
      </c>
      <c r="H352" s="3066" t="s">
        <v>3560</v>
      </c>
      <c r="I352" s="3066" t="s">
        <v>3560</v>
      </c>
      <c r="J352" s="3066" t="s">
        <v>3560</v>
      </c>
      <c r="K352" s="3066" t="s">
        <v>3560</v>
      </c>
      <c r="L352" s="3066" t="s">
        <v>3560</v>
      </c>
      <c r="M352" s="3066" t="s">
        <v>4773</v>
      </c>
      <c r="N352" s="3066">
        <v>37.6</v>
      </c>
      <c r="O352" s="3066" t="s">
        <v>3560</v>
      </c>
      <c r="P352" s="3066" t="s">
        <v>3560</v>
      </c>
      <c r="Q352" s="3066">
        <v>0</v>
      </c>
      <c r="R352" s="3066">
        <v>0</v>
      </c>
      <c r="S352" s="3066" t="s">
        <v>3577</v>
      </c>
      <c r="T352" s="3066">
        <v>0</v>
      </c>
      <c r="U352" s="3066">
        <v>0</v>
      </c>
      <c r="V352" s="3066" t="s">
        <v>3560</v>
      </c>
      <c r="W352" s="3066" t="s">
        <v>3568</v>
      </c>
      <c r="X352" s="3066">
        <v>0</v>
      </c>
      <c r="Y352" s="3066">
        <v>0</v>
      </c>
      <c r="Z352" s="3066" t="s">
        <v>3568</v>
      </c>
      <c r="AA352" s="3066" t="s">
        <v>3560</v>
      </c>
      <c r="AB352" s="3066" t="s">
        <v>3560</v>
      </c>
      <c r="AC352" s="3066" t="s">
        <v>3560</v>
      </c>
      <c r="AD352" s="3066" t="s">
        <v>3560</v>
      </c>
      <c r="AE352" s="3066" t="s">
        <v>3560</v>
      </c>
      <c r="AF352" s="3067">
        <v>0</v>
      </c>
      <c r="AG352" s="3066">
        <v>0</v>
      </c>
      <c r="AH352" s="3066">
        <v>0</v>
      </c>
      <c r="AI352" s="3066">
        <v>0</v>
      </c>
      <c r="AJ352" s="3066">
        <v>0</v>
      </c>
      <c r="AK352" s="3066">
        <v>0</v>
      </c>
      <c r="AL352" s="3066">
        <v>0</v>
      </c>
      <c r="AM352" s="3066">
        <v>0</v>
      </c>
      <c r="AN352" s="3066" t="s">
        <v>3560</v>
      </c>
      <c r="AP352" s="3068">
        <f t="shared" si="5"/>
        <v>0</v>
      </c>
    </row>
    <row r="353" spans="2:42" ht="27" customHeight="1">
      <c r="B353" s="3066">
        <v>361</v>
      </c>
      <c r="C353" s="3066" t="s">
        <v>3151</v>
      </c>
      <c r="D353" s="3066" t="s">
        <v>3901</v>
      </c>
      <c r="E353" s="3066" t="s">
        <v>4774</v>
      </c>
      <c r="F353" s="3066" t="s">
        <v>3917</v>
      </c>
      <c r="G353" s="3066" t="s">
        <v>3560</v>
      </c>
      <c r="H353" s="3066" t="s">
        <v>3560</v>
      </c>
      <c r="I353" s="3066" t="s">
        <v>3560</v>
      </c>
      <c r="J353" s="3066" t="s">
        <v>3560</v>
      </c>
      <c r="K353" s="3066" t="s">
        <v>3560</v>
      </c>
      <c r="L353" s="3066" t="s">
        <v>3560</v>
      </c>
      <c r="M353" s="3066" t="s">
        <v>4775</v>
      </c>
      <c r="N353" s="3066">
        <v>41.7</v>
      </c>
      <c r="O353" s="3066" t="s">
        <v>3560</v>
      </c>
      <c r="P353" s="3066" t="s">
        <v>3560</v>
      </c>
      <c r="Q353" s="3066">
        <v>0</v>
      </c>
      <c r="R353" s="3066">
        <v>0</v>
      </c>
      <c r="S353" s="3066" t="s">
        <v>3577</v>
      </c>
      <c r="T353" s="3066">
        <v>0</v>
      </c>
      <c r="U353" s="3066">
        <v>0</v>
      </c>
      <c r="V353" s="3066" t="s">
        <v>3560</v>
      </c>
      <c r="W353" s="3066" t="s">
        <v>3568</v>
      </c>
      <c r="X353" s="3066">
        <v>0</v>
      </c>
      <c r="Y353" s="3066">
        <v>0</v>
      </c>
      <c r="Z353" s="3066" t="s">
        <v>3568</v>
      </c>
      <c r="AA353" s="3066" t="s">
        <v>3560</v>
      </c>
      <c r="AB353" s="3066" t="s">
        <v>3560</v>
      </c>
      <c r="AC353" s="3066" t="s">
        <v>3560</v>
      </c>
      <c r="AD353" s="3066" t="s">
        <v>3560</v>
      </c>
      <c r="AE353" s="3066" t="s">
        <v>3560</v>
      </c>
      <c r="AF353" s="3067">
        <v>0</v>
      </c>
      <c r="AG353" s="3066">
        <v>0</v>
      </c>
      <c r="AH353" s="3066">
        <v>0</v>
      </c>
      <c r="AI353" s="3066">
        <v>0</v>
      </c>
      <c r="AJ353" s="3066">
        <v>0</v>
      </c>
      <c r="AK353" s="3066">
        <v>0</v>
      </c>
      <c r="AL353" s="3066">
        <v>0</v>
      </c>
      <c r="AM353" s="3066">
        <v>0</v>
      </c>
      <c r="AN353" s="3066" t="s">
        <v>3560</v>
      </c>
      <c r="AP353" s="3068">
        <f t="shared" si="5"/>
        <v>0</v>
      </c>
    </row>
    <row r="354" spans="2:42" ht="27" customHeight="1">
      <c r="B354" s="3066">
        <v>362</v>
      </c>
      <c r="C354" s="3066" t="s">
        <v>3155</v>
      </c>
      <c r="D354" s="3066" t="s">
        <v>3972</v>
      </c>
      <c r="E354" s="3066" t="s">
        <v>4776</v>
      </c>
      <c r="F354" s="3066" t="s">
        <v>3917</v>
      </c>
      <c r="G354" s="3066" t="s">
        <v>1373</v>
      </c>
      <c r="H354" s="3066" t="s">
        <v>3560</v>
      </c>
      <c r="I354" s="3066" t="s">
        <v>3561</v>
      </c>
      <c r="J354" s="3066" t="s">
        <v>3562</v>
      </c>
      <c r="K354" s="3066" t="s">
        <v>3560</v>
      </c>
      <c r="L354" s="3066" t="s">
        <v>3563</v>
      </c>
      <c r="M354" s="3066" t="s">
        <v>4777</v>
      </c>
      <c r="N354" s="3066">
        <v>2715</v>
      </c>
      <c r="O354" s="3066" t="s">
        <v>3565</v>
      </c>
      <c r="P354" s="3066" t="s">
        <v>3566</v>
      </c>
      <c r="Q354" s="3066">
        <v>15</v>
      </c>
      <c r="R354" s="3066">
        <v>0</v>
      </c>
      <c r="S354" s="3066" t="s">
        <v>3577</v>
      </c>
      <c r="T354" s="3066">
        <v>19.8</v>
      </c>
      <c r="U354" s="3066">
        <v>53757</v>
      </c>
      <c r="V354" s="3066" t="s">
        <v>3560</v>
      </c>
      <c r="W354" s="3066" t="s">
        <v>3568</v>
      </c>
      <c r="X354" s="3066">
        <v>0</v>
      </c>
      <c r="Y354" s="3066">
        <v>0</v>
      </c>
      <c r="Z354" s="3066" t="s">
        <v>3568</v>
      </c>
      <c r="AA354" s="3066" t="s">
        <v>3560</v>
      </c>
      <c r="AB354" s="3066" t="s">
        <v>3569</v>
      </c>
      <c r="AC354" s="3066" t="s">
        <v>3569</v>
      </c>
      <c r="AD354" s="3066" t="s">
        <v>3569</v>
      </c>
      <c r="AE354" s="3066" t="s">
        <v>3560</v>
      </c>
      <c r="AF354" s="3067">
        <v>56472</v>
      </c>
      <c r="AG354" s="3066">
        <v>0</v>
      </c>
      <c r="AH354" s="3066">
        <v>0</v>
      </c>
      <c r="AI354" s="3066">
        <v>0</v>
      </c>
      <c r="AJ354" s="3066">
        <v>7284.11</v>
      </c>
      <c r="AK354" s="3066">
        <v>0</v>
      </c>
      <c r="AL354" s="3066">
        <v>63756.11</v>
      </c>
      <c r="AM354" s="3066">
        <v>0</v>
      </c>
      <c r="AN354" s="3066" t="s">
        <v>3560</v>
      </c>
      <c r="AP354" s="3068">
        <f t="shared" si="5"/>
        <v>20.8</v>
      </c>
    </row>
    <row r="355" spans="2:42" ht="27" customHeight="1">
      <c r="B355" s="3066">
        <v>363</v>
      </c>
      <c r="C355" s="3066" t="s">
        <v>3159</v>
      </c>
      <c r="D355" s="3066" t="s">
        <v>4053</v>
      </c>
      <c r="E355" s="3066" t="s">
        <v>4778</v>
      </c>
      <c r="F355" s="3066" t="s">
        <v>3917</v>
      </c>
      <c r="G355" s="3066" t="s">
        <v>3560</v>
      </c>
      <c r="H355" s="3066" t="s">
        <v>3560</v>
      </c>
      <c r="I355" s="3066" t="s">
        <v>4779</v>
      </c>
      <c r="J355" s="3066" t="s">
        <v>3560</v>
      </c>
      <c r="K355" s="3066" t="s">
        <v>3560</v>
      </c>
      <c r="L355" s="3066" t="s">
        <v>4780</v>
      </c>
      <c r="M355" s="3066" t="s">
        <v>4781</v>
      </c>
      <c r="N355" s="3066">
        <v>12</v>
      </c>
      <c r="O355" s="3066" t="s">
        <v>4782</v>
      </c>
      <c r="P355" s="3066" t="s">
        <v>3745</v>
      </c>
      <c r="Q355" s="3066">
        <v>1</v>
      </c>
      <c r="R355" s="3066">
        <v>1700</v>
      </c>
      <c r="S355" s="3066" t="s">
        <v>3567</v>
      </c>
      <c r="T355" s="3066">
        <v>70.83</v>
      </c>
      <c r="U355" s="3066">
        <v>850</v>
      </c>
      <c r="V355" s="3066" t="s">
        <v>3560</v>
      </c>
      <c r="W355" s="3066" t="s">
        <v>3568</v>
      </c>
      <c r="X355" s="3066">
        <v>2.1</v>
      </c>
      <c r="Y355" s="3066">
        <v>302.39999999999998</v>
      </c>
      <c r="Z355" s="3066" t="s">
        <v>3568</v>
      </c>
      <c r="AA355" s="3066" t="s">
        <v>3560</v>
      </c>
      <c r="AB355" s="3066" t="s">
        <v>4783</v>
      </c>
      <c r="AC355" s="3066" t="s">
        <v>4783</v>
      </c>
      <c r="AD355" s="3066" t="s">
        <v>4783</v>
      </c>
      <c r="AE355" s="3066" t="s">
        <v>3560</v>
      </c>
      <c r="AF355" s="3067">
        <v>850</v>
      </c>
      <c r="AG355" s="3066">
        <v>850</v>
      </c>
      <c r="AH355" s="3066">
        <v>25.2</v>
      </c>
      <c r="AI355" s="3066">
        <v>25.2</v>
      </c>
      <c r="AJ355" s="3066">
        <v>99.2</v>
      </c>
      <c r="AK355" s="3066">
        <v>99.2</v>
      </c>
      <c r="AL355" s="3066">
        <v>974.4</v>
      </c>
      <c r="AM355" s="3066">
        <v>974.4</v>
      </c>
      <c r="AN355" s="3066" t="s">
        <v>3560</v>
      </c>
      <c r="AP355" s="3068">
        <f t="shared" si="5"/>
        <v>70.833333333333329</v>
      </c>
    </row>
    <row r="356" spans="2:42" ht="27" customHeight="1">
      <c r="B356" s="3066">
        <v>364</v>
      </c>
      <c r="C356" s="3066" t="s">
        <v>3159</v>
      </c>
      <c r="D356" s="3066" t="s">
        <v>3915</v>
      </c>
      <c r="E356" s="3066" t="s">
        <v>4784</v>
      </c>
      <c r="F356" s="3066" t="s">
        <v>3917</v>
      </c>
      <c r="G356" s="3066" t="s">
        <v>3560</v>
      </c>
      <c r="H356" s="3066" t="s">
        <v>3560</v>
      </c>
      <c r="I356" s="3066" t="s">
        <v>4785</v>
      </c>
      <c r="J356" s="3066" t="s">
        <v>4785</v>
      </c>
      <c r="K356" s="3066" t="s">
        <v>3560</v>
      </c>
      <c r="L356" s="3066" t="s">
        <v>4786</v>
      </c>
      <c r="M356" s="3066" t="s">
        <v>4787</v>
      </c>
      <c r="N356" s="3066">
        <v>12</v>
      </c>
      <c r="O356" s="3066" t="s">
        <v>4788</v>
      </c>
      <c r="P356" s="3066" t="s">
        <v>3566</v>
      </c>
      <c r="Q356" s="3066">
        <v>1</v>
      </c>
      <c r="R356" s="3066">
        <v>1700</v>
      </c>
      <c r="S356" s="3066" t="s">
        <v>3567</v>
      </c>
      <c r="T356" s="3066">
        <v>70.83</v>
      </c>
      <c r="U356" s="3066">
        <v>850</v>
      </c>
      <c r="V356" s="3066" t="s">
        <v>3560</v>
      </c>
      <c r="W356" s="3066" t="s">
        <v>3568</v>
      </c>
      <c r="X356" s="3066">
        <v>2.1</v>
      </c>
      <c r="Y356" s="3066">
        <v>302.39999999999998</v>
      </c>
      <c r="Z356" s="3066" t="s">
        <v>3568</v>
      </c>
      <c r="AA356" s="3066" t="s">
        <v>3560</v>
      </c>
      <c r="AB356" s="3066" t="s">
        <v>4789</v>
      </c>
      <c r="AC356" s="3066" t="s">
        <v>4789</v>
      </c>
      <c r="AD356" s="3066" t="s">
        <v>4789</v>
      </c>
      <c r="AE356" s="3066" t="s">
        <v>3560</v>
      </c>
      <c r="AF356" s="3067">
        <v>850</v>
      </c>
      <c r="AG356" s="3066">
        <v>850</v>
      </c>
      <c r="AH356" s="3066">
        <v>25.2</v>
      </c>
      <c r="AI356" s="3066">
        <v>25.2</v>
      </c>
      <c r="AJ356" s="3066">
        <v>53.73</v>
      </c>
      <c r="AK356" s="3066">
        <v>53.73</v>
      </c>
      <c r="AL356" s="3066">
        <v>928.93</v>
      </c>
      <c r="AM356" s="3066">
        <v>928.93</v>
      </c>
      <c r="AN356" s="3066" t="s">
        <v>3560</v>
      </c>
      <c r="AP356" s="3068">
        <f t="shared" si="5"/>
        <v>70.833333333333329</v>
      </c>
    </row>
    <row r="357" spans="2:42" ht="27" customHeight="1">
      <c r="B357" s="3066">
        <v>365</v>
      </c>
      <c r="C357" s="3066" t="s">
        <v>3159</v>
      </c>
      <c r="D357" s="3066" t="s">
        <v>3926</v>
      </c>
      <c r="E357" s="3066" t="s">
        <v>4790</v>
      </c>
      <c r="F357" s="3066" t="s">
        <v>3917</v>
      </c>
      <c r="G357" s="3066" t="s">
        <v>3560</v>
      </c>
      <c r="H357" s="3066" t="s">
        <v>3560</v>
      </c>
      <c r="I357" s="3066" t="s">
        <v>3560</v>
      </c>
      <c r="J357" s="3066" t="s">
        <v>3560</v>
      </c>
      <c r="K357" s="3066" t="s">
        <v>3560</v>
      </c>
      <c r="L357" s="3066" t="s">
        <v>3560</v>
      </c>
      <c r="M357" s="3066" t="s">
        <v>4791</v>
      </c>
      <c r="N357" s="3066">
        <v>12</v>
      </c>
      <c r="O357" s="3066" t="s">
        <v>3560</v>
      </c>
      <c r="P357" s="3066" t="s">
        <v>3560</v>
      </c>
      <c r="Q357" s="3066">
        <v>0</v>
      </c>
      <c r="R357" s="3066">
        <v>0</v>
      </c>
      <c r="S357" s="3066" t="s">
        <v>3577</v>
      </c>
      <c r="T357" s="3066">
        <v>0</v>
      </c>
      <c r="U357" s="3066">
        <v>0</v>
      </c>
      <c r="V357" s="3066" t="s">
        <v>3560</v>
      </c>
      <c r="W357" s="3066" t="s">
        <v>3568</v>
      </c>
      <c r="X357" s="3066">
        <v>0</v>
      </c>
      <c r="Y357" s="3066">
        <v>0</v>
      </c>
      <c r="Z357" s="3066" t="s">
        <v>3568</v>
      </c>
      <c r="AA357" s="3066" t="s">
        <v>3560</v>
      </c>
      <c r="AB357" s="3066" t="s">
        <v>3560</v>
      </c>
      <c r="AC357" s="3066" t="s">
        <v>3560</v>
      </c>
      <c r="AD357" s="3066" t="s">
        <v>3560</v>
      </c>
      <c r="AE357" s="3066" t="s">
        <v>3560</v>
      </c>
      <c r="AF357" s="3067">
        <v>0</v>
      </c>
      <c r="AG357" s="3066">
        <v>0</v>
      </c>
      <c r="AH357" s="3066">
        <v>0</v>
      </c>
      <c r="AI357" s="3066">
        <v>0</v>
      </c>
      <c r="AJ357" s="3066">
        <v>0</v>
      </c>
      <c r="AK357" s="3066">
        <v>0</v>
      </c>
      <c r="AL357" s="3066">
        <v>0</v>
      </c>
      <c r="AM357" s="3066">
        <v>0</v>
      </c>
      <c r="AN357" s="3066" t="s">
        <v>3560</v>
      </c>
      <c r="AP357" s="3068">
        <f t="shared" si="5"/>
        <v>0</v>
      </c>
    </row>
    <row r="358" spans="2:42" ht="27" customHeight="1">
      <c r="B358" s="3066">
        <v>366</v>
      </c>
      <c r="C358" s="3066" t="s">
        <v>3159</v>
      </c>
      <c r="D358" s="3066" t="s">
        <v>3972</v>
      </c>
      <c r="E358" s="3066" t="s">
        <v>4792</v>
      </c>
      <c r="F358" s="3066" t="s">
        <v>3917</v>
      </c>
      <c r="G358" s="3066" t="s">
        <v>3560</v>
      </c>
      <c r="H358" s="3066" t="s">
        <v>3560</v>
      </c>
      <c r="I358" s="3066" t="s">
        <v>4793</v>
      </c>
      <c r="J358" s="3066" t="s">
        <v>4793</v>
      </c>
      <c r="K358" s="3066" t="s">
        <v>3560</v>
      </c>
      <c r="L358" s="3066" t="s">
        <v>4794</v>
      </c>
      <c r="M358" s="3066" t="s">
        <v>4795</v>
      </c>
      <c r="N358" s="3066">
        <v>12</v>
      </c>
      <c r="O358" s="3066" t="s">
        <v>4796</v>
      </c>
      <c r="P358" s="3066" t="s">
        <v>3566</v>
      </c>
      <c r="Q358" s="3066">
        <v>1</v>
      </c>
      <c r="R358" s="3066">
        <v>1700</v>
      </c>
      <c r="S358" s="3066" t="s">
        <v>3567</v>
      </c>
      <c r="T358" s="3066">
        <v>70.83</v>
      </c>
      <c r="U358" s="3066">
        <v>850</v>
      </c>
      <c r="V358" s="3066" t="s">
        <v>3560</v>
      </c>
      <c r="W358" s="3066" t="s">
        <v>3568</v>
      </c>
      <c r="X358" s="3066">
        <v>2.1</v>
      </c>
      <c r="Y358" s="3066">
        <v>302.39999999999998</v>
      </c>
      <c r="Z358" s="3066" t="s">
        <v>3568</v>
      </c>
      <c r="AA358" s="3066" t="s">
        <v>3560</v>
      </c>
      <c r="AB358" s="3066" t="s">
        <v>4797</v>
      </c>
      <c r="AC358" s="3066" t="s">
        <v>4797</v>
      </c>
      <c r="AD358" s="3066" t="s">
        <v>4797</v>
      </c>
      <c r="AE358" s="3066" t="s">
        <v>3560</v>
      </c>
      <c r="AF358" s="3067">
        <v>0</v>
      </c>
      <c r="AG358" s="3066">
        <v>0</v>
      </c>
      <c r="AH358" s="3066">
        <v>0</v>
      </c>
      <c r="AI358" s="3066">
        <v>0</v>
      </c>
      <c r="AJ358" s="3066">
        <v>0</v>
      </c>
      <c r="AK358" s="3066">
        <v>0</v>
      </c>
      <c r="AL358" s="3066">
        <v>0</v>
      </c>
      <c r="AM358" s="3066">
        <v>0</v>
      </c>
      <c r="AN358" s="3066" t="s">
        <v>3560</v>
      </c>
      <c r="AP358" s="3068">
        <f t="shared" si="5"/>
        <v>0</v>
      </c>
    </row>
    <row r="359" spans="2:42" ht="27" customHeight="1">
      <c r="B359" s="3066">
        <v>367</v>
      </c>
      <c r="C359" s="3066" t="s">
        <v>3159</v>
      </c>
      <c r="D359" s="3066" t="s">
        <v>4209</v>
      </c>
      <c r="E359" s="3066" t="s">
        <v>4798</v>
      </c>
      <c r="F359" s="3066" t="s">
        <v>3917</v>
      </c>
      <c r="G359" s="3066" t="s">
        <v>3560</v>
      </c>
      <c r="H359" s="3066" t="s">
        <v>3560</v>
      </c>
      <c r="I359" s="3066" t="s">
        <v>4799</v>
      </c>
      <c r="J359" s="3066" t="s">
        <v>4799</v>
      </c>
      <c r="K359" s="3066" t="s">
        <v>3560</v>
      </c>
      <c r="L359" s="3066" t="s">
        <v>4800</v>
      </c>
      <c r="M359" s="3066" t="s">
        <v>4801</v>
      </c>
      <c r="N359" s="3066">
        <v>12</v>
      </c>
      <c r="O359" s="3066" t="s">
        <v>4560</v>
      </c>
      <c r="P359" s="3066" t="s">
        <v>3566</v>
      </c>
      <c r="Q359" s="3066">
        <v>0</v>
      </c>
      <c r="R359" s="3066">
        <v>1600</v>
      </c>
      <c r="S359" s="3066" t="s">
        <v>3567</v>
      </c>
      <c r="T359" s="3066">
        <v>66.67</v>
      </c>
      <c r="U359" s="3066">
        <v>800</v>
      </c>
      <c r="V359" s="3066" t="s">
        <v>3560</v>
      </c>
      <c r="W359" s="3066" t="s">
        <v>3568</v>
      </c>
      <c r="X359" s="3066">
        <v>2.1</v>
      </c>
      <c r="Y359" s="3066">
        <v>302.39999999999998</v>
      </c>
      <c r="Z359" s="3066" t="s">
        <v>3568</v>
      </c>
      <c r="AA359" s="3066" t="s">
        <v>3560</v>
      </c>
      <c r="AB359" s="3066" t="s">
        <v>3591</v>
      </c>
      <c r="AC359" s="3066" t="s">
        <v>3591</v>
      </c>
      <c r="AD359" s="3066" t="s">
        <v>3591</v>
      </c>
      <c r="AE359" s="3066" t="s">
        <v>3560</v>
      </c>
      <c r="AF359" s="3067">
        <v>800</v>
      </c>
      <c r="AG359" s="3066">
        <v>800</v>
      </c>
      <c r="AH359" s="3066">
        <v>25.2</v>
      </c>
      <c r="AI359" s="3066">
        <v>25.2</v>
      </c>
      <c r="AJ359" s="3066">
        <v>56.13</v>
      </c>
      <c r="AK359" s="3066">
        <v>56.13</v>
      </c>
      <c r="AL359" s="3066">
        <v>881.33</v>
      </c>
      <c r="AM359" s="3066">
        <v>881.33</v>
      </c>
      <c r="AN359" s="3066" t="s">
        <v>3560</v>
      </c>
      <c r="AP359" s="3068">
        <f t="shared" si="5"/>
        <v>66.666666666666671</v>
      </c>
    </row>
    <row r="360" spans="2:42" ht="27" customHeight="1">
      <c r="B360" s="3066">
        <v>368</v>
      </c>
      <c r="C360" s="3066" t="s">
        <v>3159</v>
      </c>
      <c r="D360" s="3066" t="s">
        <v>3901</v>
      </c>
      <c r="E360" s="3066" t="s">
        <v>4802</v>
      </c>
      <c r="F360" s="3066" t="s">
        <v>3917</v>
      </c>
      <c r="G360" s="3066" t="s">
        <v>3560</v>
      </c>
      <c r="H360" s="3066" t="s">
        <v>3560</v>
      </c>
      <c r="I360" s="3066" t="s">
        <v>4803</v>
      </c>
      <c r="J360" s="3066" t="s">
        <v>4803</v>
      </c>
      <c r="K360" s="3066" t="s">
        <v>3560</v>
      </c>
      <c r="L360" s="3066" t="s">
        <v>4804</v>
      </c>
      <c r="M360" s="3066" t="s">
        <v>4805</v>
      </c>
      <c r="N360" s="3066">
        <v>12</v>
      </c>
      <c r="O360" s="3066" t="s">
        <v>4806</v>
      </c>
      <c r="P360" s="3066" t="s">
        <v>3566</v>
      </c>
      <c r="Q360" s="3066">
        <v>0</v>
      </c>
      <c r="R360" s="3066">
        <v>1460</v>
      </c>
      <c r="S360" s="3066" t="s">
        <v>3567</v>
      </c>
      <c r="T360" s="3066">
        <v>60.83</v>
      </c>
      <c r="U360" s="3066">
        <v>730</v>
      </c>
      <c r="V360" s="3066" t="s">
        <v>3560</v>
      </c>
      <c r="W360" s="3066" t="s">
        <v>3568</v>
      </c>
      <c r="X360" s="3066">
        <v>2.1</v>
      </c>
      <c r="Y360" s="3066">
        <v>302.39999999999998</v>
      </c>
      <c r="Z360" s="3066" t="s">
        <v>3568</v>
      </c>
      <c r="AA360" s="3066" t="s">
        <v>3560</v>
      </c>
      <c r="AB360" s="3066" t="s">
        <v>4807</v>
      </c>
      <c r="AC360" s="3066" t="s">
        <v>4807</v>
      </c>
      <c r="AD360" s="3066" t="s">
        <v>4807</v>
      </c>
      <c r="AE360" s="3066" t="s">
        <v>3560</v>
      </c>
      <c r="AF360" s="3067">
        <v>730</v>
      </c>
      <c r="AG360" s="3066">
        <v>730</v>
      </c>
      <c r="AH360" s="3066">
        <v>25.2</v>
      </c>
      <c r="AI360" s="3066">
        <v>25.2</v>
      </c>
      <c r="AJ360" s="3066">
        <v>11.73</v>
      </c>
      <c r="AK360" s="3066">
        <v>11.73</v>
      </c>
      <c r="AL360" s="3066">
        <v>766.93</v>
      </c>
      <c r="AM360" s="3066">
        <v>766.93</v>
      </c>
      <c r="AN360" s="3066" t="s">
        <v>3560</v>
      </c>
      <c r="AP360" s="3068">
        <f t="shared" si="5"/>
        <v>60.833333333333336</v>
      </c>
    </row>
    <row r="361" spans="2:42" ht="27" customHeight="1">
      <c r="B361" s="3066">
        <v>369</v>
      </c>
      <c r="C361" s="3066" t="s">
        <v>3159</v>
      </c>
      <c r="D361" s="3066" t="s">
        <v>4019</v>
      </c>
      <c r="E361" s="3066" t="s">
        <v>4808</v>
      </c>
      <c r="F361" s="3066" t="s">
        <v>3917</v>
      </c>
      <c r="G361" s="3066" t="s">
        <v>3560</v>
      </c>
      <c r="H361" s="3066" t="s">
        <v>3560</v>
      </c>
      <c r="I361" s="3066" t="s">
        <v>4034</v>
      </c>
      <c r="J361" s="3066" t="s">
        <v>4035</v>
      </c>
      <c r="K361" s="3066" t="s">
        <v>3560</v>
      </c>
      <c r="L361" s="3066" t="s">
        <v>4036</v>
      </c>
      <c r="M361" s="3066" t="s">
        <v>4809</v>
      </c>
      <c r="N361" s="3066">
        <v>40.299999999999997</v>
      </c>
      <c r="O361" s="3066" t="s">
        <v>4810</v>
      </c>
      <c r="P361" s="3066" t="s">
        <v>3566</v>
      </c>
      <c r="Q361" s="3066">
        <v>1</v>
      </c>
      <c r="R361" s="3066">
        <v>0</v>
      </c>
      <c r="S361" s="3066" t="s">
        <v>3577</v>
      </c>
      <c r="T361" s="3066">
        <v>40.94</v>
      </c>
      <c r="U361" s="3066">
        <v>1650</v>
      </c>
      <c r="V361" s="3066" t="s">
        <v>3560</v>
      </c>
      <c r="W361" s="3066" t="s">
        <v>3568</v>
      </c>
      <c r="X361" s="3066">
        <v>2.1</v>
      </c>
      <c r="Y361" s="3066">
        <v>1015.56</v>
      </c>
      <c r="Z361" s="3066" t="s">
        <v>3568</v>
      </c>
      <c r="AA361" s="3066" t="s">
        <v>3560</v>
      </c>
      <c r="AB361" s="3066" t="s">
        <v>4811</v>
      </c>
      <c r="AC361" s="3066" t="s">
        <v>4811</v>
      </c>
      <c r="AD361" s="3066" t="s">
        <v>4811</v>
      </c>
      <c r="AE361" s="3066" t="s">
        <v>3560</v>
      </c>
      <c r="AF361" s="3067">
        <v>1650</v>
      </c>
      <c r="AG361" s="3066">
        <v>0</v>
      </c>
      <c r="AH361" s="3066">
        <v>84.63</v>
      </c>
      <c r="AI361" s="3066">
        <v>0</v>
      </c>
      <c r="AJ361" s="3066">
        <v>370.39</v>
      </c>
      <c r="AK361" s="3066">
        <v>0</v>
      </c>
      <c r="AL361" s="3066">
        <v>2105.02</v>
      </c>
      <c r="AM361" s="3066">
        <v>0</v>
      </c>
      <c r="AN361" s="3066" t="s">
        <v>3560</v>
      </c>
      <c r="AP361" s="3068">
        <f t="shared" si="5"/>
        <v>40.942928039702238</v>
      </c>
    </row>
    <row r="362" spans="2:42" ht="27" customHeight="1">
      <c r="B362" s="3066">
        <v>370</v>
      </c>
      <c r="C362" s="3066" t="s">
        <v>3159</v>
      </c>
      <c r="D362" s="3066" t="s">
        <v>4019</v>
      </c>
      <c r="E362" s="3066" t="s">
        <v>4812</v>
      </c>
      <c r="F362" s="3066" t="s">
        <v>3917</v>
      </c>
      <c r="G362" s="3066" t="s">
        <v>3560</v>
      </c>
      <c r="H362" s="3066" t="s">
        <v>3560</v>
      </c>
      <c r="I362" s="3066" t="s">
        <v>3560</v>
      </c>
      <c r="J362" s="3066" t="s">
        <v>3560</v>
      </c>
      <c r="K362" s="3066" t="s">
        <v>3560</v>
      </c>
      <c r="L362" s="3066" t="s">
        <v>3560</v>
      </c>
      <c r="M362" s="3066" t="s">
        <v>4813</v>
      </c>
      <c r="N362" s="3066">
        <v>40.299999999999997</v>
      </c>
      <c r="O362" s="3066" t="s">
        <v>3560</v>
      </c>
      <c r="P362" s="3066" t="s">
        <v>3560</v>
      </c>
      <c r="Q362" s="3066">
        <v>0</v>
      </c>
      <c r="R362" s="3066">
        <v>0</v>
      </c>
      <c r="S362" s="3066" t="s">
        <v>3577</v>
      </c>
      <c r="T362" s="3066">
        <v>0</v>
      </c>
      <c r="U362" s="3066">
        <v>0</v>
      </c>
      <c r="V362" s="3066" t="s">
        <v>3560</v>
      </c>
      <c r="W362" s="3066" t="s">
        <v>3568</v>
      </c>
      <c r="X362" s="3066">
        <v>0</v>
      </c>
      <c r="Y362" s="3066">
        <v>0</v>
      </c>
      <c r="Z362" s="3066" t="s">
        <v>3568</v>
      </c>
      <c r="AA362" s="3066" t="s">
        <v>3560</v>
      </c>
      <c r="AB362" s="3066" t="s">
        <v>3560</v>
      </c>
      <c r="AC362" s="3066" t="s">
        <v>3560</v>
      </c>
      <c r="AD362" s="3066" t="s">
        <v>3560</v>
      </c>
      <c r="AE362" s="3066" t="s">
        <v>3560</v>
      </c>
      <c r="AF362" s="3067">
        <v>0</v>
      </c>
      <c r="AG362" s="3066">
        <v>0</v>
      </c>
      <c r="AH362" s="3066">
        <v>0</v>
      </c>
      <c r="AI362" s="3066">
        <v>0</v>
      </c>
      <c r="AJ362" s="3066">
        <v>0</v>
      </c>
      <c r="AK362" s="3066">
        <v>0</v>
      </c>
      <c r="AL362" s="3066">
        <v>0</v>
      </c>
      <c r="AM362" s="3066">
        <v>0</v>
      </c>
      <c r="AN362" s="3066" t="s">
        <v>3560</v>
      </c>
      <c r="AP362" s="3068">
        <f t="shared" si="5"/>
        <v>0</v>
      </c>
    </row>
    <row r="363" spans="2:42" ht="27" customHeight="1">
      <c r="B363" s="3066">
        <v>371</v>
      </c>
      <c r="C363" s="3066" t="s">
        <v>3159</v>
      </c>
      <c r="D363" s="3066" t="s">
        <v>4019</v>
      </c>
      <c r="E363" s="3066" t="s">
        <v>4814</v>
      </c>
      <c r="F363" s="3066" t="s">
        <v>3917</v>
      </c>
      <c r="G363" s="3066" t="s">
        <v>3560</v>
      </c>
      <c r="H363" s="3066" t="s">
        <v>3560</v>
      </c>
      <c r="I363" s="3066" t="s">
        <v>3560</v>
      </c>
      <c r="J363" s="3066" t="s">
        <v>3560</v>
      </c>
      <c r="K363" s="3066" t="s">
        <v>3560</v>
      </c>
      <c r="L363" s="3066" t="s">
        <v>3560</v>
      </c>
      <c r="M363" s="3066" t="s">
        <v>4815</v>
      </c>
      <c r="N363" s="3066">
        <v>40.299999999999997</v>
      </c>
      <c r="O363" s="3066" t="s">
        <v>3560</v>
      </c>
      <c r="P363" s="3066" t="s">
        <v>3560</v>
      </c>
      <c r="Q363" s="3066">
        <v>0</v>
      </c>
      <c r="R363" s="3066">
        <v>0</v>
      </c>
      <c r="S363" s="3066" t="s">
        <v>3577</v>
      </c>
      <c r="T363" s="3066">
        <v>0</v>
      </c>
      <c r="U363" s="3066">
        <v>0</v>
      </c>
      <c r="V363" s="3066" t="s">
        <v>3560</v>
      </c>
      <c r="W363" s="3066" t="s">
        <v>3568</v>
      </c>
      <c r="X363" s="3066">
        <v>0</v>
      </c>
      <c r="Y363" s="3066">
        <v>0</v>
      </c>
      <c r="Z363" s="3066" t="s">
        <v>3568</v>
      </c>
      <c r="AA363" s="3066" t="s">
        <v>3560</v>
      </c>
      <c r="AB363" s="3066" t="s">
        <v>3560</v>
      </c>
      <c r="AC363" s="3066" t="s">
        <v>3560</v>
      </c>
      <c r="AD363" s="3066" t="s">
        <v>3560</v>
      </c>
      <c r="AE363" s="3066" t="s">
        <v>3560</v>
      </c>
      <c r="AF363" s="3067">
        <v>0</v>
      </c>
      <c r="AG363" s="3066">
        <v>0</v>
      </c>
      <c r="AH363" s="3066">
        <v>0</v>
      </c>
      <c r="AI363" s="3066">
        <v>0</v>
      </c>
      <c r="AJ363" s="3066">
        <v>0</v>
      </c>
      <c r="AK363" s="3066">
        <v>0</v>
      </c>
      <c r="AL363" s="3066">
        <v>0</v>
      </c>
      <c r="AM363" s="3066">
        <v>0</v>
      </c>
      <c r="AN363" s="3066" t="s">
        <v>3560</v>
      </c>
      <c r="AP363" s="3068">
        <f t="shared" si="5"/>
        <v>0</v>
      </c>
    </row>
    <row r="364" spans="2:42" ht="27" customHeight="1">
      <c r="B364" s="3066">
        <v>372</v>
      </c>
      <c r="C364" s="3066" t="s">
        <v>3159</v>
      </c>
      <c r="D364" s="3066" t="s">
        <v>4019</v>
      </c>
      <c r="E364" s="3066" t="s">
        <v>4816</v>
      </c>
      <c r="F364" s="3066" t="s">
        <v>3917</v>
      </c>
      <c r="G364" s="3066" t="s">
        <v>3560</v>
      </c>
      <c r="H364" s="3066" t="s">
        <v>3560</v>
      </c>
      <c r="I364" s="3066" t="s">
        <v>4817</v>
      </c>
      <c r="J364" s="3066" t="s">
        <v>4817</v>
      </c>
      <c r="K364" s="3066" t="s">
        <v>3560</v>
      </c>
      <c r="L364" s="3066" t="s">
        <v>4818</v>
      </c>
      <c r="M364" s="3066" t="s">
        <v>4819</v>
      </c>
      <c r="N364" s="3066">
        <v>40.299999999999997</v>
      </c>
      <c r="O364" s="3066" t="s">
        <v>4820</v>
      </c>
      <c r="P364" s="3066" t="s">
        <v>3745</v>
      </c>
      <c r="Q364" s="3066">
        <v>0</v>
      </c>
      <c r="R364" s="3066">
        <v>3300</v>
      </c>
      <c r="S364" s="3066" t="s">
        <v>3567</v>
      </c>
      <c r="T364" s="3066">
        <v>40.94</v>
      </c>
      <c r="U364" s="3066">
        <v>1650</v>
      </c>
      <c r="V364" s="3066" t="s">
        <v>3560</v>
      </c>
      <c r="W364" s="3066" t="s">
        <v>3568</v>
      </c>
      <c r="X364" s="3066">
        <v>2.1</v>
      </c>
      <c r="Y364" s="3066">
        <v>1015.56</v>
      </c>
      <c r="Z364" s="3066" t="s">
        <v>3568</v>
      </c>
      <c r="AA364" s="3066" t="s">
        <v>3560</v>
      </c>
      <c r="AB364" s="3066" t="s">
        <v>3471</v>
      </c>
      <c r="AC364" s="3066" t="s">
        <v>3471</v>
      </c>
      <c r="AD364" s="3066" t="s">
        <v>3471</v>
      </c>
      <c r="AE364" s="3066" t="s">
        <v>3560</v>
      </c>
      <c r="AF364" s="3067">
        <v>1650</v>
      </c>
      <c r="AG364" s="3066">
        <v>0</v>
      </c>
      <c r="AH364" s="3066">
        <v>84.63</v>
      </c>
      <c r="AI364" s="3066">
        <v>0</v>
      </c>
      <c r="AJ364" s="3066">
        <v>329.32</v>
      </c>
      <c r="AK364" s="3066">
        <v>0</v>
      </c>
      <c r="AL364" s="3066">
        <v>2063.9499999999998</v>
      </c>
      <c r="AM364" s="3066">
        <v>0</v>
      </c>
      <c r="AN364" s="3066" t="s">
        <v>3560</v>
      </c>
      <c r="AP364" s="3068">
        <f t="shared" si="5"/>
        <v>40.942928039702238</v>
      </c>
    </row>
    <row r="365" spans="2:42" ht="27" customHeight="1">
      <c r="B365" s="3066">
        <v>373</v>
      </c>
      <c r="C365" s="3066" t="s">
        <v>3159</v>
      </c>
      <c r="D365" s="3066" t="s">
        <v>4019</v>
      </c>
      <c r="E365" s="3066" t="s">
        <v>4821</v>
      </c>
      <c r="F365" s="3066" t="s">
        <v>3917</v>
      </c>
      <c r="G365" s="3066" t="s">
        <v>3560</v>
      </c>
      <c r="H365" s="3066" t="s">
        <v>3560</v>
      </c>
      <c r="I365" s="3066" t="s">
        <v>4822</v>
      </c>
      <c r="J365" s="3066" t="s">
        <v>4823</v>
      </c>
      <c r="K365" s="3066" t="s">
        <v>3560</v>
      </c>
      <c r="L365" s="3066" t="s">
        <v>4824</v>
      </c>
      <c r="M365" s="3066" t="s">
        <v>4825</v>
      </c>
      <c r="N365" s="3066">
        <v>40.299999999999997</v>
      </c>
      <c r="O365" s="3066" t="s">
        <v>4826</v>
      </c>
      <c r="P365" s="3066" t="s">
        <v>3566</v>
      </c>
      <c r="Q365" s="3066">
        <v>0</v>
      </c>
      <c r="R365" s="3066">
        <v>3300</v>
      </c>
      <c r="S365" s="3066" t="s">
        <v>3567</v>
      </c>
      <c r="T365" s="3066">
        <v>40.94</v>
      </c>
      <c r="U365" s="3066">
        <v>1650</v>
      </c>
      <c r="V365" s="3066" t="s">
        <v>3560</v>
      </c>
      <c r="W365" s="3066" t="s">
        <v>3568</v>
      </c>
      <c r="X365" s="3066">
        <v>2.1</v>
      </c>
      <c r="Y365" s="3066">
        <v>1015.56</v>
      </c>
      <c r="Z365" s="3066" t="s">
        <v>3568</v>
      </c>
      <c r="AA365" s="3066" t="s">
        <v>3560</v>
      </c>
      <c r="AB365" s="3066" t="s">
        <v>4827</v>
      </c>
      <c r="AC365" s="3066" t="s">
        <v>4827</v>
      </c>
      <c r="AD365" s="3066" t="s">
        <v>4827</v>
      </c>
      <c r="AE365" s="3066" t="s">
        <v>3560</v>
      </c>
      <c r="AF365" s="3067">
        <v>1650</v>
      </c>
      <c r="AG365" s="3066">
        <v>1650</v>
      </c>
      <c r="AH365" s="3066">
        <v>84.63</v>
      </c>
      <c r="AI365" s="3066">
        <v>84.63</v>
      </c>
      <c r="AJ365" s="3066">
        <v>207.72</v>
      </c>
      <c r="AK365" s="3066">
        <v>207.72</v>
      </c>
      <c r="AL365" s="3066">
        <v>1942.35</v>
      </c>
      <c r="AM365" s="3066">
        <v>1942.35</v>
      </c>
      <c r="AN365" s="3066" t="s">
        <v>3560</v>
      </c>
      <c r="AP365" s="3068">
        <f t="shared" si="5"/>
        <v>40.942928039702238</v>
      </c>
    </row>
    <row r="366" spans="2:42" ht="27" customHeight="1">
      <c r="B366" s="3066">
        <v>374</v>
      </c>
      <c r="C366" s="3066" t="s">
        <v>3159</v>
      </c>
      <c r="D366" s="3066" t="s">
        <v>4019</v>
      </c>
      <c r="E366" s="3066" t="s">
        <v>4828</v>
      </c>
      <c r="F366" s="3066" t="s">
        <v>3917</v>
      </c>
      <c r="G366" s="3066" t="s">
        <v>3560</v>
      </c>
      <c r="H366" s="3066" t="s">
        <v>3560</v>
      </c>
      <c r="I366" s="3066" t="s">
        <v>4829</v>
      </c>
      <c r="J366" s="3066" t="s">
        <v>4830</v>
      </c>
      <c r="K366" s="3066" t="s">
        <v>3560</v>
      </c>
      <c r="L366" s="3066" t="s">
        <v>3560</v>
      </c>
      <c r="M366" s="3066" t="s">
        <v>4831</v>
      </c>
      <c r="N366" s="3066">
        <v>40.299999999999997</v>
      </c>
      <c r="O366" s="3066" t="s">
        <v>4832</v>
      </c>
      <c r="P366" s="3066" t="s">
        <v>3566</v>
      </c>
      <c r="Q366" s="3066">
        <v>1</v>
      </c>
      <c r="R366" s="3066">
        <v>3300</v>
      </c>
      <c r="S366" s="3066" t="s">
        <v>3567</v>
      </c>
      <c r="T366" s="3066">
        <v>40.94</v>
      </c>
      <c r="U366" s="3066">
        <v>1650</v>
      </c>
      <c r="V366" s="3066" t="s">
        <v>3560</v>
      </c>
      <c r="W366" s="3066" t="s">
        <v>3568</v>
      </c>
      <c r="X366" s="3066">
        <v>2.1</v>
      </c>
      <c r="Y366" s="3066">
        <v>1015.56</v>
      </c>
      <c r="Z366" s="3066" t="s">
        <v>3568</v>
      </c>
      <c r="AA366" s="3066" t="s">
        <v>3560</v>
      </c>
      <c r="AB366" s="3066" t="s">
        <v>4833</v>
      </c>
      <c r="AC366" s="3066" t="s">
        <v>4833</v>
      </c>
      <c r="AD366" s="3066" t="s">
        <v>4833</v>
      </c>
      <c r="AE366" s="3066" t="s">
        <v>3560</v>
      </c>
      <c r="AF366" s="3067">
        <v>1650</v>
      </c>
      <c r="AG366" s="3066">
        <v>1650</v>
      </c>
      <c r="AH366" s="3066">
        <v>84.63</v>
      </c>
      <c r="AI366" s="3066">
        <v>84.63</v>
      </c>
      <c r="AJ366" s="3066">
        <v>50.13</v>
      </c>
      <c r="AK366" s="3066">
        <v>50.13</v>
      </c>
      <c r="AL366" s="3066">
        <v>1784.76</v>
      </c>
      <c r="AM366" s="3066">
        <v>1784.76</v>
      </c>
      <c r="AN366" s="3066" t="s">
        <v>3560</v>
      </c>
      <c r="AP366" s="3068">
        <f t="shared" si="5"/>
        <v>40.942928039702238</v>
      </c>
    </row>
    <row r="367" spans="2:42" ht="27" customHeight="1">
      <c r="B367" s="3066">
        <v>375</v>
      </c>
      <c r="C367" s="3066" t="s">
        <v>3159</v>
      </c>
      <c r="D367" s="3066" t="s">
        <v>4019</v>
      </c>
      <c r="E367" s="3066" t="s">
        <v>4834</v>
      </c>
      <c r="F367" s="3066" t="s">
        <v>3917</v>
      </c>
      <c r="G367" s="3066" t="s">
        <v>3560</v>
      </c>
      <c r="H367" s="3066" t="s">
        <v>3560</v>
      </c>
      <c r="I367" s="3066" t="s">
        <v>3560</v>
      </c>
      <c r="J367" s="3066" t="s">
        <v>3560</v>
      </c>
      <c r="K367" s="3066" t="s">
        <v>3560</v>
      </c>
      <c r="L367" s="3066" t="s">
        <v>3560</v>
      </c>
      <c r="M367" s="3066" t="s">
        <v>4835</v>
      </c>
      <c r="N367" s="3066">
        <v>40.299999999999997</v>
      </c>
      <c r="O367" s="3066" t="s">
        <v>3560</v>
      </c>
      <c r="P367" s="3066" t="s">
        <v>3560</v>
      </c>
      <c r="Q367" s="3066">
        <v>0</v>
      </c>
      <c r="R367" s="3066">
        <v>0</v>
      </c>
      <c r="S367" s="3066" t="s">
        <v>3577</v>
      </c>
      <c r="T367" s="3066">
        <v>0</v>
      </c>
      <c r="U367" s="3066">
        <v>0</v>
      </c>
      <c r="V367" s="3066" t="s">
        <v>3560</v>
      </c>
      <c r="W367" s="3066" t="s">
        <v>3568</v>
      </c>
      <c r="X367" s="3066">
        <v>0</v>
      </c>
      <c r="Y367" s="3066">
        <v>0</v>
      </c>
      <c r="Z367" s="3066" t="s">
        <v>3568</v>
      </c>
      <c r="AA367" s="3066" t="s">
        <v>3560</v>
      </c>
      <c r="AB367" s="3066" t="s">
        <v>3560</v>
      </c>
      <c r="AC367" s="3066" t="s">
        <v>3560</v>
      </c>
      <c r="AD367" s="3066" t="s">
        <v>3560</v>
      </c>
      <c r="AE367" s="3066" t="s">
        <v>3560</v>
      </c>
      <c r="AF367" s="3067">
        <v>0</v>
      </c>
      <c r="AG367" s="3066">
        <v>0</v>
      </c>
      <c r="AH367" s="3066">
        <v>0</v>
      </c>
      <c r="AI367" s="3066">
        <v>0</v>
      </c>
      <c r="AJ367" s="3066">
        <v>0</v>
      </c>
      <c r="AK367" s="3066">
        <v>0</v>
      </c>
      <c r="AL367" s="3066">
        <v>0</v>
      </c>
      <c r="AM367" s="3066">
        <v>0</v>
      </c>
      <c r="AN367" s="3066" t="s">
        <v>3560</v>
      </c>
      <c r="AP367" s="3068">
        <f t="shared" si="5"/>
        <v>0</v>
      </c>
    </row>
    <row r="368" spans="2:42" ht="27" customHeight="1">
      <c r="B368" s="3066">
        <v>376</v>
      </c>
      <c r="C368" s="3066" t="s">
        <v>3159</v>
      </c>
      <c r="D368" s="3066" t="s">
        <v>4019</v>
      </c>
      <c r="E368" s="3066" t="s">
        <v>4836</v>
      </c>
      <c r="F368" s="3066" t="s">
        <v>3917</v>
      </c>
      <c r="G368" s="3066" t="s">
        <v>1373</v>
      </c>
      <c r="H368" s="3066" t="s">
        <v>3560</v>
      </c>
      <c r="I368" s="3066" t="s">
        <v>4837</v>
      </c>
      <c r="J368" s="3066" t="s">
        <v>4838</v>
      </c>
      <c r="K368" s="3066" t="s">
        <v>3560</v>
      </c>
      <c r="L368" s="3066" t="s">
        <v>4839</v>
      </c>
      <c r="M368" s="3066" t="s">
        <v>4840</v>
      </c>
      <c r="N368" s="3066">
        <v>40.299999999999997</v>
      </c>
      <c r="O368" s="3066" t="s">
        <v>4841</v>
      </c>
      <c r="P368" s="3066" t="s">
        <v>3566</v>
      </c>
      <c r="Q368" s="3066">
        <v>0</v>
      </c>
      <c r="R368" s="3066">
        <v>3300</v>
      </c>
      <c r="S368" s="3066" t="s">
        <v>3567</v>
      </c>
      <c r="T368" s="3066">
        <v>40.94</v>
      </c>
      <c r="U368" s="3066">
        <v>1650</v>
      </c>
      <c r="V368" s="3066" t="s">
        <v>3560</v>
      </c>
      <c r="W368" s="3066" t="s">
        <v>3568</v>
      </c>
      <c r="X368" s="3066">
        <v>2.1</v>
      </c>
      <c r="Y368" s="3066">
        <v>1015.56</v>
      </c>
      <c r="Z368" s="3066" t="s">
        <v>3568</v>
      </c>
      <c r="AA368" s="3066" t="s">
        <v>3560</v>
      </c>
      <c r="AB368" s="3066" t="s">
        <v>3993</v>
      </c>
      <c r="AC368" s="3066" t="s">
        <v>3993</v>
      </c>
      <c r="AD368" s="3066" t="s">
        <v>3993</v>
      </c>
      <c r="AE368" s="3066" t="s">
        <v>3560</v>
      </c>
      <c r="AF368" s="3067">
        <v>2501.61</v>
      </c>
      <c r="AG368" s="3066">
        <v>2501.61</v>
      </c>
      <c r="AH368" s="3066">
        <v>128.31</v>
      </c>
      <c r="AI368" s="3066">
        <v>128.31</v>
      </c>
      <c r="AJ368" s="3066">
        <v>206.12</v>
      </c>
      <c r="AK368" s="3066">
        <v>206.12</v>
      </c>
      <c r="AL368" s="3066">
        <v>2836.04</v>
      </c>
      <c r="AM368" s="3066">
        <v>2836.04</v>
      </c>
      <c r="AN368" s="3066" t="s">
        <v>3560</v>
      </c>
      <c r="AP368" s="3068">
        <f t="shared" si="5"/>
        <v>62.074689826302738</v>
      </c>
    </row>
    <row r="369" spans="2:42" ht="27" customHeight="1">
      <c r="B369" s="3066">
        <v>377</v>
      </c>
      <c r="C369" s="3066" t="s">
        <v>3159</v>
      </c>
      <c r="D369" s="3066" t="s">
        <v>4019</v>
      </c>
      <c r="E369" s="3066" t="s">
        <v>4842</v>
      </c>
      <c r="F369" s="3066" t="s">
        <v>3917</v>
      </c>
      <c r="G369" s="3066" t="s">
        <v>3560</v>
      </c>
      <c r="H369" s="3066" t="s">
        <v>3560</v>
      </c>
      <c r="I369" s="3066" t="s">
        <v>4843</v>
      </c>
      <c r="J369" s="3066" t="s">
        <v>4843</v>
      </c>
      <c r="K369" s="3066" t="s">
        <v>3560</v>
      </c>
      <c r="L369" s="3066" t="s">
        <v>4844</v>
      </c>
      <c r="M369" s="3066" t="s">
        <v>4845</v>
      </c>
      <c r="N369" s="3066">
        <v>40.299999999999997</v>
      </c>
      <c r="O369" s="3066" t="s">
        <v>4846</v>
      </c>
      <c r="P369" s="3066" t="s">
        <v>3566</v>
      </c>
      <c r="Q369" s="3066">
        <v>0</v>
      </c>
      <c r="R369" s="3066">
        <v>3300</v>
      </c>
      <c r="S369" s="3066" t="s">
        <v>3567</v>
      </c>
      <c r="T369" s="3066">
        <v>40.94</v>
      </c>
      <c r="U369" s="3066">
        <v>1650</v>
      </c>
      <c r="V369" s="3066" t="s">
        <v>3560</v>
      </c>
      <c r="W369" s="3066" t="s">
        <v>3568</v>
      </c>
      <c r="X369" s="3066">
        <v>2.1</v>
      </c>
      <c r="Y369" s="3066">
        <v>1015.56</v>
      </c>
      <c r="Z369" s="3066" t="s">
        <v>3568</v>
      </c>
      <c r="AA369" s="3066" t="s">
        <v>3560</v>
      </c>
      <c r="AB369" s="3066" t="s">
        <v>4847</v>
      </c>
      <c r="AC369" s="3066" t="s">
        <v>4847</v>
      </c>
      <c r="AD369" s="3066" t="s">
        <v>4847</v>
      </c>
      <c r="AE369" s="3066" t="s">
        <v>3560</v>
      </c>
      <c r="AF369" s="3067">
        <v>1650</v>
      </c>
      <c r="AG369" s="3066">
        <v>1650</v>
      </c>
      <c r="AH369" s="3066">
        <v>84.63</v>
      </c>
      <c r="AI369" s="3066">
        <v>84.63</v>
      </c>
      <c r="AJ369" s="3066">
        <v>65.599999999999994</v>
      </c>
      <c r="AK369" s="3066">
        <v>65.599999999999994</v>
      </c>
      <c r="AL369" s="3066">
        <v>1800.23</v>
      </c>
      <c r="AM369" s="3066">
        <v>1800.23</v>
      </c>
      <c r="AN369" s="3066" t="s">
        <v>3560</v>
      </c>
      <c r="AP369" s="3068">
        <f t="shared" si="5"/>
        <v>40.942928039702238</v>
      </c>
    </row>
    <row r="370" spans="2:42" ht="27" customHeight="1">
      <c r="B370" s="3066">
        <v>378</v>
      </c>
      <c r="C370" s="3066" t="s">
        <v>3159</v>
      </c>
      <c r="D370" s="3066" t="s">
        <v>4019</v>
      </c>
      <c r="E370" s="3066" t="s">
        <v>4848</v>
      </c>
      <c r="F370" s="3066" t="s">
        <v>3917</v>
      </c>
      <c r="G370" s="3066" t="s">
        <v>3560</v>
      </c>
      <c r="H370" s="3066" t="s">
        <v>3560</v>
      </c>
      <c r="I370" s="3066" t="s">
        <v>4034</v>
      </c>
      <c r="J370" s="3066" t="s">
        <v>4035</v>
      </c>
      <c r="K370" s="3066" t="s">
        <v>3560</v>
      </c>
      <c r="L370" s="3066" t="s">
        <v>4036</v>
      </c>
      <c r="M370" s="3066" t="s">
        <v>4849</v>
      </c>
      <c r="N370" s="3066">
        <v>40.299999999999997</v>
      </c>
      <c r="O370" s="3066" t="s">
        <v>4810</v>
      </c>
      <c r="P370" s="3066" t="s">
        <v>3566</v>
      </c>
      <c r="Q370" s="3066">
        <v>1</v>
      </c>
      <c r="R370" s="3066">
        <v>6600</v>
      </c>
      <c r="S370" s="3066" t="s">
        <v>3567</v>
      </c>
      <c r="T370" s="3066">
        <v>40.94</v>
      </c>
      <c r="U370" s="3066">
        <v>1650</v>
      </c>
      <c r="V370" s="3066" t="s">
        <v>3560</v>
      </c>
      <c r="W370" s="3066" t="s">
        <v>3568</v>
      </c>
      <c r="X370" s="3066">
        <v>2.1</v>
      </c>
      <c r="Y370" s="3066">
        <v>1015.56</v>
      </c>
      <c r="Z370" s="3066" t="s">
        <v>3568</v>
      </c>
      <c r="AA370" s="3066" t="s">
        <v>3560</v>
      </c>
      <c r="AB370" s="3066" t="s">
        <v>4811</v>
      </c>
      <c r="AC370" s="3066" t="s">
        <v>4811</v>
      </c>
      <c r="AD370" s="3066" t="s">
        <v>4811</v>
      </c>
      <c r="AE370" s="3066" t="s">
        <v>3560</v>
      </c>
      <c r="AF370" s="3067">
        <v>1650</v>
      </c>
      <c r="AG370" s="3066">
        <v>0</v>
      </c>
      <c r="AH370" s="3066">
        <v>84.63</v>
      </c>
      <c r="AI370" s="3066">
        <v>0</v>
      </c>
      <c r="AJ370" s="3066">
        <v>265.19</v>
      </c>
      <c r="AK370" s="3066">
        <v>0</v>
      </c>
      <c r="AL370" s="3066">
        <v>1999.82</v>
      </c>
      <c r="AM370" s="3066">
        <v>0</v>
      </c>
      <c r="AN370" s="3066" t="s">
        <v>3560</v>
      </c>
      <c r="AP370" s="3068">
        <f t="shared" si="5"/>
        <v>40.942928039702238</v>
      </c>
    </row>
    <row r="371" spans="2:42" ht="27" customHeight="1">
      <c r="B371" s="3066">
        <v>379</v>
      </c>
      <c r="C371" s="3066" t="s">
        <v>3159</v>
      </c>
      <c r="D371" s="3066" t="s">
        <v>4019</v>
      </c>
      <c r="E371" s="3066" t="s">
        <v>4850</v>
      </c>
      <c r="F371" s="3066" t="s">
        <v>3917</v>
      </c>
      <c r="G371" s="3066" t="s">
        <v>1373</v>
      </c>
      <c r="H371" s="3066" t="s">
        <v>3560</v>
      </c>
      <c r="I371" s="3066" t="s">
        <v>4851</v>
      </c>
      <c r="J371" s="3066" t="s">
        <v>3560</v>
      </c>
      <c r="K371" s="3066" t="s">
        <v>3560</v>
      </c>
      <c r="L371" s="3066" t="s">
        <v>4852</v>
      </c>
      <c r="M371" s="3066" t="s">
        <v>4853</v>
      </c>
      <c r="N371" s="3066">
        <v>40.299999999999997</v>
      </c>
      <c r="O371" s="3066" t="s">
        <v>4044</v>
      </c>
      <c r="P371" s="3066" t="s">
        <v>3566</v>
      </c>
      <c r="Q371" s="3066">
        <v>0</v>
      </c>
      <c r="R371" s="3066">
        <v>8160</v>
      </c>
      <c r="S371" s="3066" t="s">
        <v>3567</v>
      </c>
      <c r="T371" s="3066">
        <v>0</v>
      </c>
      <c r="U371" s="3066">
        <v>0</v>
      </c>
      <c r="V371" s="3066" t="s">
        <v>3560</v>
      </c>
      <c r="W371" s="3066" t="s">
        <v>3568</v>
      </c>
      <c r="X371" s="3066">
        <v>2.1</v>
      </c>
      <c r="Y371" s="3066">
        <v>1015.56</v>
      </c>
      <c r="Z371" s="3066" t="s">
        <v>3568</v>
      </c>
      <c r="AA371" s="3066" t="s">
        <v>3560</v>
      </c>
      <c r="AB371" s="3066" t="s">
        <v>3932</v>
      </c>
      <c r="AC371" s="3066" t="s">
        <v>3932</v>
      </c>
      <c r="AD371" s="3066" t="s">
        <v>3932</v>
      </c>
      <c r="AE371" s="3066" t="s">
        <v>3560</v>
      </c>
      <c r="AF371" s="3067">
        <v>0</v>
      </c>
      <c r="AG371" s="3066">
        <v>0</v>
      </c>
      <c r="AH371" s="3066">
        <v>84.63</v>
      </c>
      <c r="AI371" s="3066">
        <v>84.63</v>
      </c>
      <c r="AJ371" s="3066">
        <v>296.52</v>
      </c>
      <c r="AK371" s="3066">
        <v>296.52</v>
      </c>
      <c r="AL371" s="3066">
        <v>381.15</v>
      </c>
      <c r="AM371" s="3066">
        <v>381.15</v>
      </c>
      <c r="AN371" s="3066" t="s">
        <v>3560</v>
      </c>
      <c r="AP371" s="3068">
        <f t="shared" si="5"/>
        <v>0</v>
      </c>
    </row>
    <row r="372" spans="2:42" ht="27" customHeight="1">
      <c r="B372" s="3066">
        <v>380</v>
      </c>
      <c r="C372" s="3066" t="s">
        <v>3159</v>
      </c>
      <c r="D372" s="3066" t="s">
        <v>4019</v>
      </c>
      <c r="E372" s="3066" t="s">
        <v>4854</v>
      </c>
      <c r="F372" s="3066" t="s">
        <v>3917</v>
      </c>
      <c r="G372" s="3066" t="s">
        <v>1373</v>
      </c>
      <c r="H372" s="3066" t="s">
        <v>3560</v>
      </c>
      <c r="I372" s="3066" t="s">
        <v>4851</v>
      </c>
      <c r="J372" s="3066" t="s">
        <v>3560</v>
      </c>
      <c r="K372" s="3066" t="s">
        <v>3560</v>
      </c>
      <c r="L372" s="3066" t="s">
        <v>4852</v>
      </c>
      <c r="M372" s="3066" t="s">
        <v>4855</v>
      </c>
      <c r="N372" s="3066">
        <v>46.3</v>
      </c>
      <c r="O372" s="3066" t="s">
        <v>4044</v>
      </c>
      <c r="P372" s="3066" t="s">
        <v>3566</v>
      </c>
      <c r="Q372" s="3066">
        <v>0</v>
      </c>
      <c r="R372" s="3066">
        <v>11028</v>
      </c>
      <c r="S372" s="3066" t="s">
        <v>3567</v>
      </c>
      <c r="T372" s="3066">
        <v>75.459999999999994</v>
      </c>
      <c r="U372" s="3066">
        <v>3494</v>
      </c>
      <c r="V372" s="3066" t="s">
        <v>3560</v>
      </c>
      <c r="W372" s="3066" t="s">
        <v>3568</v>
      </c>
      <c r="X372" s="3066">
        <v>2.1</v>
      </c>
      <c r="Y372" s="3066">
        <v>1166.76</v>
      </c>
      <c r="Z372" s="3066" t="s">
        <v>3568</v>
      </c>
      <c r="AA372" s="3066" t="s">
        <v>3560</v>
      </c>
      <c r="AB372" s="3066" t="s">
        <v>3932</v>
      </c>
      <c r="AC372" s="3066" t="s">
        <v>3932</v>
      </c>
      <c r="AD372" s="3066" t="s">
        <v>3932</v>
      </c>
      <c r="AE372" s="3066" t="s">
        <v>3560</v>
      </c>
      <c r="AF372" s="3067">
        <v>3494</v>
      </c>
      <c r="AG372" s="3066">
        <v>3494</v>
      </c>
      <c r="AH372" s="3066">
        <v>97.23</v>
      </c>
      <c r="AI372" s="3066">
        <v>97.23</v>
      </c>
      <c r="AJ372" s="3066">
        <v>0</v>
      </c>
      <c r="AK372" s="3066">
        <v>0</v>
      </c>
      <c r="AL372" s="3066">
        <v>3591.23</v>
      </c>
      <c r="AM372" s="3066">
        <v>3591.23</v>
      </c>
      <c r="AN372" s="3066" t="s">
        <v>3560</v>
      </c>
      <c r="AP372" s="3068">
        <f t="shared" si="5"/>
        <v>75.464362850971924</v>
      </c>
    </row>
    <row r="373" spans="2:42" ht="27" customHeight="1">
      <c r="B373" s="3066">
        <v>381</v>
      </c>
      <c r="C373" s="3066" t="s">
        <v>3159</v>
      </c>
      <c r="D373" s="3066" t="s">
        <v>3915</v>
      </c>
      <c r="E373" s="3066" t="s">
        <v>4856</v>
      </c>
      <c r="F373" s="3066" t="s">
        <v>3917</v>
      </c>
      <c r="G373" s="3066" t="s">
        <v>3560</v>
      </c>
      <c r="H373" s="3066" t="s">
        <v>3560</v>
      </c>
      <c r="I373" s="3066" t="s">
        <v>4857</v>
      </c>
      <c r="J373" s="3066" t="s">
        <v>4857</v>
      </c>
      <c r="K373" s="3066" t="s">
        <v>3560</v>
      </c>
      <c r="L373" s="3066" t="s">
        <v>3755</v>
      </c>
      <c r="M373" s="3066" t="s">
        <v>4858</v>
      </c>
      <c r="N373" s="3066">
        <v>40.299999999999997</v>
      </c>
      <c r="O373" s="3066" t="s">
        <v>4859</v>
      </c>
      <c r="P373" s="3066" t="s">
        <v>3566</v>
      </c>
      <c r="Q373" s="3066">
        <v>0</v>
      </c>
      <c r="R373" s="3066">
        <v>3500</v>
      </c>
      <c r="S373" s="3066" t="s">
        <v>3567</v>
      </c>
      <c r="T373" s="3066">
        <v>43.42</v>
      </c>
      <c r="U373" s="3066">
        <v>1750</v>
      </c>
      <c r="V373" s="3066" t="s">
        <v>3560</v>
      </c>
      <c r="W373" s="3066" t="s">
        <v>3568</v>
      </c>
      <c r="X373" s="3066">
        <v>2.1</v>
      </c>
      <c r="Y373" s="3066">
        <v>1015.56</v>
      </c>
      <c r="Z373" s="3066" t="s">
        <v>3568</v>
      </c>
      <c r="AA373" s="3066" t="s">
        <v>3560</v>
      </c>
      <c r="AB373" s="3066" t="s">
        <v>4860</v>
      </c>
      <c r="AC373" s="3066" t="s">
        <v>4860</v>
      </c>
      <c r="AD373" s="3066" t="s">
        <v>4860</v>
      </c>
      <c r="AE373" s="3066" t="s">
        <v>3560</v>
      </c>
      <c r="AF373" s="3067">
        <v>1750</v>
      </c>
      <c r="AG373" s="3066">
        <v>1750</v>
      </c>
      <c r="AH373" s="3066">
        <v>84.63</v>
      </c>
      <c r="AI373" s="3066">
        <v>84.63</v>
      </c>
      <c r="AJ373" s="3066">
        <v>23.87</v>
      </c>
      <c r="AK373" s="3066">
        <v>23.87</v>
      </c>
      <c r="AL373" s="3066">
        <v>1858.5</v>
      </c>
      <c r="AM373" s="3066">
        <v>1858.5</v>
      </c>
      <c r="AN373" s="3066" t="s">
        <v>3560</v>
      </c>
      <c r="AP373" s="3068">
        <f t="shared" si="5"/>
        <v>43.424317617866009</v>
      </c>
    </row>
    <row r="374" spans="2:42" ht="27" customHeight="1">
      <c r="B374" s="3066">
        <v>382</v>
      </c>
      <c r="C374" s="3066" t="s">
        <v>3159</v>
      </c>
      <c r="D374" s="3066" t="s">
        <v>3915</v>
      </c>
      <c r="E374" s="3066" t="s">
        <v>4861</v>
      </c>
      <c r="F374" s="3066" t="s">
        <v>3917</v>
      </c>
      <c r="G374" s="3066" t="s">
        <v>3560</v>
      </c>
      <c r="H374" s="3066" t="s">
        <v>3560</v>
      </c>
      <c r="I374" s="3066" t="s">
        <v>4862</v>
      </c>
      <c r="J374" s="3066" t="s">
        <v>4862</v>
      </c>
      <c r="K374" s="3066" t="s">
        <v>3560</v>
      </c>
      <c r="L374" s="3066" t="s">
        <v>4863</v>
      </c>
      <c r="M374" s="3066" t="s">
        <v>4864</v>
      </c>
      <c r="N374" s="3066">
        <v>40.299999999999997</v>
      </c>
      <c r="O374" s="3066" t="s">
        <v>4865</v>
      </c>
      <c r="P374" s="3066" t="s">
        <v>3566</v>
      </c>
      <c r="Q374" s="3066">
        <v>0</v>
      </c>
      <c r="R374" s="3066">
        <v>3500</v>
      </c>
      <c r="S374" s="3066" t="s">
        <v>3567</v>
      </c>
      <c r="T374" s="3066">
        <v>43.42</v>
      </c>
      <c r="U374" s="3066">
        <v>1750</v>
      </c>
      <c r="V374" s="3066" t="s">
        <v>3560</v>
      </c>
      <c r="W374" s="3066" t="s">
        <v>3568</v>
      </c>
      <c r="X374" s="3066">
        <v>2.1</v>
      </c>
      <c r="Y374" s="3066">
        <v>1015.56</v>
      </c>
      <c r="Z374" s="3066" t="s">
        <v>3568</v>
      </c>
      <c r="AA374" s="3066" t="s">
        <v>3560</v>
      </c>
      <c r="AB374" s="3066" t="s">
        <v>4866</v>
      </c>
      <c r="AC374" s="3066" t="s">
        <v>4866</v>
      </c>
      <c r="AD374" s="3066" t="s">
        <v>4866</v>
      </c>
      <c r="AE374" s="3066" t="s">
        <v>3560</v>
      </c>
      <c r="AF374" s="3067">
        <v>1750</v>
      </c>
      <c r="AG374" s="3066">
        <v>1750</v>
      </c>
      <c r="AH374" s="3066">
        <v>84.63</v>
      </c>
      <c r="AI374" s="3066">
        <v>84.63</v>
      </c>
      <c r="AJ374" s="3066">
        <v>279.32</v>
      </c>
      <c r="AK374" s="3066">
        <v>279.32</v>
      </c>
      <c r="AL374" s="3066">
        <v>2113.9499999999998</v>
      </c>
      <c r="AM374" s="3066">
        <v>2113.9499999999998</v>
      </c>
      <c r="AN374" s="3066" t="s">
        <v>3560</v>
      </c>
      <c r="AP374" s="3068">
        <f t="shared" si="5"/>
        <v>43.424317617866009</v>
      </c>
    </row>
    <row r="375" spans="2:42" ht="27" customHeight="1">
      <c r="B375" s="3066">
        <v>383</v>
      </c>
      <c r="C375" s="3066" t="s">
        <v>3159</v>
      </c>
      <c r="D375" s="3066" t="s">
        <v>3915</v>
      </c>
      <c r="E375" s="3066" t="s">
        <v>4861</v>
      </c>
      <c r="F375" s="3066" t="s">
        <v>3917</v>
      </c>
      <c r="G375" s="3066" t="s">
        <v>3560</v>
      </c>
      <c r="H375" s="3066" t="s">
        <v>3560</v>
      </c>
      <c r="I375" s="3066" t="s">
        <v>4862</v>
      </c>
      <c r="J375" s="3066" t="s">
        <v>4862</v>
      </c>
      <c r="K375" s="3066" t="s">
        <v>3560</v>
      </c>
      <c r="L375" s="3066" t="s">
        <v>4863</v>
      </c>
      <c r="M375" s="3066" t="s">
        <v>4864</v>
      </c>
      <c r="N375" s="3066">
        <v>40.299999999999997</v>
      </c>
      <c r="O375" s="3066" t="s">
        <v>4867</v>
      </c>
      <c r="P375" s="3066" t="s">
        <v>4096</v>
      </c>
      <c r="Q375" s="3066">
        <v>0</v>
      </c>
      <c r="R375" s="3066">
        <v>3500</v>
      </c>
      <c r="S375" s="3066" t="s">
        <v>3567</v>
      </c>
      <c r="T375" s="3066">
        <v>43.42</v>
      </c>
      <c r="U375" s="3066">
        <v>1750</v>
      </c>
      <c r="V375" s="3066" t="s">
        <v>3560</v>
      </c>
      <c r="W375" s="3066" t="s">
        <v>3568</v>
      </c>
      <c r="X375" s="3066">
        <v>2.1</v>
      </c>
      <c r="Y375" s="3066">
        <v>1015.56</v>
      </c>
      <c r="Z375" s="3066" t="s">
        <v>3568</v>
      </c>
      <c r="AA375" s="3066" t="s">
        <v>3560</v>
      </c>
      <c r="AB375" s="3066" t="s">
        <v>4868</v>
      </c>
      <c r="AC375" s="3066" t="s">
        <v>4868</v>
      </c>
      <c r="AD375" s="3066" t="s">
        <v>4868</v>
      </c>
      <c r="AE375" s="3066" t="s">
        <v>3560</v>
      </c>
      <c r="AF375" s="3067">
        <v>1750</v>
      </c>
      <c r="AG375" s="3066">
        <v>1750</v>
      </c>
      <c r="AH375" s="3066">
        <v>84.63</v>
      </c>
      <c r="AI375" s="3066">
        <v>84.63</v>
      </c>
      <c r="AJ375" s="3066">
        <v>279.32</v>
      </c>
      <c r="AK375" s="3066">
        <v>279.32</v>
      </c>
      <c r="AL375" s="3066">
        <v>2113.9499999999998</v>
      </c>
      <c r="AM375" s="3066">
        <v>2113.9499999999998</v>
      </c>
      <c r="AN375" s="3066" t="s">
        <v>3560</v>
      </c>
      <c r="AP375" s="3068">
        <f t="shared" si="5"/>
        <v>43.424317617866009</v>
      </c>
    </row>
    <row r="376" spans="2:42" ht="27" customHeight="1">
      <c r="B376" s="3066">
        <v>384</v>
      </c>
      <c r="C376" s="3066" t="s">
        <v>3159</v>
      </c>
      <c r="D376" s="3066" t="s">
        <v>3915</v>
      </c>
      <c r="E376" s="3066" t="s">
        <v>4869</v>
      </c>
      <c r="F376" s="3066" t="s">
        <v>3917</v>
      </c>
      <c r="G376" s="3066" t="s">
        <v>3560</v>
      </c>
      <c r="H376" s="3066" t="s">
        <v>3560</v>
      </c>
      <c r="I376" s="3066" t="s">
        <v>3560</v>
      </c>
      <c r="J376" s="3066" t="s">
        <v>3560</v>
      </c>
      <c r="K376" s="3066" t="s">
        <v>3560</v>
      </c>
      <c r="L376" s="3066" t="s">
        <v>3560</v>
      </c>
      <c r="M376" s="3066" t="s">
        <v>4870</v>
      </c>
      <c r="N376" s="3066">
        <v>40.299999999999997</v>
      </c>
      <c r="O376" s="3066" t="s">
        <v>3560</v>
      </c>
      <c r="P376" s="3066" t="s">
        <v>3560</v>
      </c>
      <c r="Q376" s="3066">
        <v>0</v>
      </c>
      <c r="R376" s="3066">
        <v>0</v>
      </c>
      <c r="S376" s="3066" t="s">
        <v>3577</v>
      </c>
      <c r="T376" s="3066">
        <v>0</v>
      </c>
      <c r="U376" s="3066">
        <v>0</v>
      </c>
      <c r="V376" s="3066" t="s">
        <v>3560</v>
      </c>
      <c r="W376" s="3066" t="s">
        <v>3568</v>
      </c>
      <c r="X376" s="3066">
        <v>0</v>
      </c>
      <c r="Y376" s="3066">
        <v>0</v>
      </c>
      <c r="Z376" s="3066" t="s">
        <v>3568</v>
      </c>
      <c r="AA376" s="3066" t="s">
        <v>3560</v>
      </c>
      <c r="AB376" s="3066" t="s">
        <v>3560</v>
      </c>
      <c r="AC376" s="3066" t="s">
        <v>3560</v>
      </c>
      <c r="AD376" s="3066" t="s">
        <v>3560</v>
      </c>
      <c r="AE376" s="3066" t="s">
        <v>3560</v>
      </c>
      <c r="AF376" s="3067">
        <v>0</v>
      </c>
      <c r="AG376" s="3066">
        <v>0</v>
      </c>
      <c r="AH376" s="3066">
        <v>0</v>
      </c>
      <c r="AI376" s="3066">
        <v>0</v>
      </c>
      <c r="AJ376" s="3066">
        <v>0</v>
      </c>
      <c r="AK376" s="3066">
        <v>0</v>
      </c>
      <c r="AL376" s="3066">
        <v>0</v>
      </c>
      <c r="AM376" s="3066">
        <v>0</v>
      </c>
      <c r="AN376" s="3066" t="s">
        <v>3560</v>
      </c>
      <c r="AP376" s="3068">
        <f t="shared" si="5"/>
        <v>0</v>
      </c>
    </row>
    <row r="377" spans="2:42" ht="27" customHeight="1">
      <c r="B377" s="3066">
        <v>385</v>
      </c>
      <c r="C377" s="3066" t="s">
        <v>3159</v>
      </c>
      <c r="D377" s="3066" t="s">
        <v>3915</v>
      </c>
      <c r="E377" s="3066" t="s">
        <v>4871</v>
      </c>
      <c r="F377" s="3066" t="s">
        <v>3917</v>
      </c>
      <c r="G377" s="3066" t="s">
        <v>3560</v>
      </c>
      <c r="H377" s="3066" t="s">
        <v>3560</v>
      </c>
      <c r="I377" s="3066" t="s">
        <v>3560</v>
      </c>
      <c r="J377" s="3066" t="s">
        <v>3560</v>
      </c>
      <c r="K377" s="3066" t="s">
        <v>3560</v>
      </c>
      <c r="L377" s="3066" t="s">
        <v>3560</v>
      </c>
      <c r="M377" s="3066" t="s">
        <v>4872</v>
      </c>
      <c r="N377" s="3066">
        <v>40.299999999999997</v>
      </c>
      <c r="O377" s="3066" t="s">
        <v>3560</v>
      </c>
      <c r="P377" s="3066" t="s">
        <v>3560</v>
      </c>
      <c r="Q377" s="3066">
        <v>0</v>
      </c>
      <c r="R377" s="3066">
        <v>0</v>
      </c>
      <c r="S377" s="3066" t="s">
        <v>3577</v>
      </c>
      <c r="T377" s="3066">
        <v>0</v>
      </c>
      <c r="U377" s="3066">
        <v>0</v>
      </c>
      <c r="V377" s="3066" t="s">
        <v>3560</v>
      </c>
      <c r="W377" s="3066" t="s">
        <v>3568</v>
      </c>
      <c r="X377" s="3066">
        <v>0</v>
      </c>
      <c r="Y377" s="3066">
        <v>0</v>
      </c>
      <c r="Z377" s="3066" t="s">
        <v>3568</v>
      </c>
      <c r="AA377" s="3066" t="s">
        <v>3560</v>
      </c>
      <c r="AB377" s="3066" t="s">
        <v>3560</v>
      </c>
      <c r="AC377" s="3066" t="s">
        <v>3560</v>
      </c>
      <c r="AD377" s="3066" t="s">
        <v>3560</v>
      </c>
      <c r="AE377" s="3066" t="s">
        <v>3560</v>
      </c>
      <c r="AF377" s="3067">
        <v>0</v>
      </c>
      <c r="AG377" s="3066">
        <v>0</v>
      </c>
      <c r="AH377" s="3066">
        <v>0</v>
      </c>
      <c r="AI377" s="3066">
        <v>0</v>
      </c>
      <c r="AJ377" s="3066">
        <v>0</v>
      </c>
      <c r="AK377" s="3066">
        <v>0</v>
      </c>
      <c r="AL377" s="3066">
        <v>0</v>
      </c>
      <c r="AM377" s="3066">
        <v>0</v>
      </c>
      <c r="AN377" s="3066" t="s">
        <v>3560</v>
      </c>
      <c r="AP377" s="3068">
        <f t="shared" si="5"/>
        <v>0</v>
      </c>
    </row>
    <row r="378" spans="2:42" ht="27" customHeight="1">
      <c r="B378" s="3066">
        <v>386</v>
      </c>
      <c r="C378" s="3066" t="s">
        <v>3159</v>
      </c>
      <c r="D378" s="3066" t="s">
        <v>3915</v>
      </c>
      <c r="E378" s="3066" t="s">
        <v>4873</v>
      </c>
      <c r="F378" s="3066" t="s">
        <v>3917</v>
      </c>
      <c r="G378" s="3066" t="s">
        <v>3560</v>
      </c>
      <c r="H378" s="3066" t="s">
        <v>3560</v>
      </c>
      <c r="I378" s="3066" t="s">
        <v>4874</v>
      </c>
      <c r="J378" s="3066" t="s">
        <v>4874</v>
      </c>
      <c r="K378" s="3066" t="s">
        <v>3560</v>
      </c>
      <c r="L378" s="3066" t="s">
        <v>4875</v>
      </c>
      <c r="M378" s="3066" t="s">
        <v>4876</v>
      </c>
      <c r="N378" s="3066">
        <v>40.299999999999997</v>
      </c>
      <c r="O378" s="3066" t="s">
        <v>4877</v>
      </c>
      <c r="P378" s="3066" t="s">
        <v>3566</v>
      </c>
      <c r="Q378" s="3066">
        <v>0</v>
      </c>
      <c r="R378" s="3066">
        <v>3500</v>
      </c>
      <c r="S378" s="3066" t="s">
        <v>3567</v>
      </c>
      <c r="T378" s="3066">
        <v>43.42</v>
      </c>
      <c r="U378" s="3066">
        <v>1750</v>
      </c>
      <c r="V378" s="3066" t="s">
        <v>3560</v>
      </c>
      <c r="W378" s="3066" t="s">
        <v>3568</v>
      </c>
      <c r="X378" s="3066">
        <v>2.1</v>
      </c>
      <c r="Y378" s="3066">
        <v>1015.56</v>
      </c>
      <c r="Z378" s="3066" t="s">
        <v>3568</v>
      </c>
      <c r="AA378" s="3066" t="s">
        <v>3560</v>
      </c>
      <c r="AB378" s="3066" t="s">
        <v>4878</v>
      </c>
      <c r="AC378" s="3066" t="s">
        <v>4878</v>
      </c>
      <c r="AD378" s="3066" t="s">
        <v>4878</v>
      </c>
      <c r="AE378" s="3066" t="s">
        <v>3560</v>
      </c>
      <c r="AF378" s="3067">
        <v>1622.98</v>
      </c>
      <c r="AG378" s="3066">
        <v>1622.98</v>
      </c>
      <c r="AH378" s="3066">
        <v>78.489999999999995</v>
      </c>
      <c r="AI378" s="3066">
        <v>78.489999999999995</v>
      </c>
      <c r="AJ378" s="3066">
        <v>96.8</v>
      </c>
      <c r="AK378" s="3066">
        <v>96.8</v>
      </c>
      <c r="AL378" s="3066">
        <v>1798.27</v>
      </c>
      <c r="AM378" s="3066">
        <v>1798.27</v>
      </c>
      <c r="AN378" s="3066" t="s">
        <v>3560</v>
      </c>
      <c r="AP378" s="3068">
        <f t="shared" si="5"/>
        <v>40.272456575682384</v>
      </c>
    </row>
    <row r="379" spans="2:42" ht="27" customHeight="1">
      <c r="B379" s="3066">
        <v>387</v>
      </c>
      <c r="C379" s="3066" t="s">
        <v>3159</v>
      </c>
      <c r="D379" s="3066" t="s">
        <v>3915</v>
      </c>
      <c r="E379" s="3066" t="s">
        <v>4879</v>
      </c>
      <c r="F379" s="3066" t="s">
        <v>3917</v>
      </c>
      <c r="G379" s="3066" t="s">
        <v>3560</v>
      </c>
      <c r="H379" s="3066" t="s">
        <v>3560</v>
      </c>
      <c r="I379" s="3066" t="s">
        <v>4880</v>
      </c>
      <c r="J379" s="3066" t="s">
        <v>4881</v>
      </c>
      <c r="K379" s="3066" t="s">
        <v>3560</v>
      </c>
      <c r="L379" s="3066" t="s">
        <v>4882</v>
      </c>
      <c r="M379" s="3066" t="s">
        <v>4883</v>
      </c>
      <c r="N379" s="3066">
        <v>40.299999999999997</v>
      </c>
      <c r="O379" s="3066" t="s">
        <v>4884</v>
      </c>
      <c r="P379" s="3066" t="s">
        <v>3566</v>
      </c>
      <c r="Q379" s="3066">
        <v>0</v>
      </c>
      <c r="R379" s="3066">
        <v>7000</v>
      </c>
      <c r="S379" s="3066" t="s">
        <v>3567</v>
      </c>
      <c r="T379" s="3066">
        <v>43.42</v>
      </c>
      <c r="U379" s="3066">
        <v>1750</v>
      </c>
      <c r="V379" s="3066" t="s">
        <v>3560</v>
      </c>
      <c r="W379" s="3066" t="s">
        <v>3568</v>
      </c>
      <c r="X379" s="3066">
        <v>2.1</v>
      </c>
      <c r="Y379" s="3066">
        <v>1015.56</v>
      </c>
      <c r="Z379" s="3066" t="s">
        <v>3568</v>
      </c>
      <c r="AA379" s="3066" t="s">
        <v>3560</v>
      </c>
      <c r="AB379" s="3066" t="s">
        <v>4885</v>
      </c>
      <c r="AC379" s="3066" t="s">
        <v>4885</v>
      </c>
      <c r="AD379" s="3066" t="s">
        <v>4885</v>
      </c>
      <c r="AE379" s="3066" t="s">
        <v>3560</v>
      </c>
      <c r="AF379" s="3067">
        <v>1750</v>
      </c>
      <c r="AG379" s="3066">
        <v>1750</v>
      </c>
      <c r="AH379" s="3066">
        <v>84.63</v>
      </c>
      <c r="AI379" s="3066">
        <v>84.63</v>
      </c>
      <c r="AJ379" s="3066">
        <v>61.86</v>
      </c>
      <c r="AK379" s="3066">
        <v>61.86</v>
      </c>
      <c r="AL379" s="3066">
        <v>1896.49</v>
      </c>
      <c r="AM379" s="3066">
        <v>1896.49</v>
      </c>
      <c r="AN379" s="3066" t="s">
        <v>3560</v>
      </c>
      <c r="AP379" s="3068">
        <f t="shared" si="5"/>
        <v>43.424317617866009</v>
      </c>
    </row>
    <row r="380" spans="2:42" ht="27" customHeight="1">
      <c r="B380" s="3066">
        <v>388</v>
      </c>
      <c r="C380" s="3066" t="s">
        <v>3159</v>
      </c>
      <c r="D380" s="3066" t="s">
        <v>3915</v>
      </c>
      <c r="E380" s="3066" t="s">
        <v>4886</v>
      </c>
      <c r="F380" s="3066" t="s">
        <v>3917</v>
      </c>
      <c r="G380" s="3066" t="s">
        <v>3560</v>
      </c>
      <c r="H380" s="3066" t="s">
        <v>3560</v>
      </c>
      <c r="I380" s="3066" t="s">
        <v>4880</v>
      </c>
      <c r="J380" s="3066" t="s">
        <v>4881</v>
      </c>
      <c r="K380" s="3066" t="s">
        <v>3560</v>
      </c>
      <c r="L380" s="3066" t="s">
        <v>4882</v>
      </c>
      <c r="M380" s="3066" t="s">
        <v>4887</v>
      </c>
      <c r="N380" s="3066">
        <v>40.299999999999997</v>
      </c>
      <c r="O380" s="3066" t="s">
        <v>4884</v>
      </c>
      <c r="P380" s="3066" t="s">
        <v>3566</v>
      </c>
      <c r="Q380" s="3066">
        <v>0</v>
      </c>
      <c r="R380" s="3066">
        <v>0</v>
      </c>
      <c r="S380" s="3066" t="s">
        <v>3577</v>
      </c>
      <c r="T380" s="3066">
        <v>43.42</v>
      </c>
      <c r="U380" s="3066">
        <v>1750</v>
      </c>
      <c r="V380" s="3066" t="s">
        <v>3560</v>
      </c>
      <c r="W380" s="3066" t="s">
        <v>3568</v>
      </c>
      <c r="X380" s="3066">
        <v>2.1</v>
      </c>
      <c r="Y380" s="3066">
        <v>1015.56</v>
      </c>
      <c r="Z380" s="3066" t="s">
        <v>3568</v>
      </c>
      <c r="AA380" s="3066" t="s">
        <v>3560</v>
      </c>
      <c r="AB380" s="3066" t="s">
        <v>4885</v>
      </c>
      <c r="AC380" s="3066" t="s">
        <v>4885</v>
      </c>
      <c r="AD380" s="3066" t="s">
        <v>4885</v>
      </c>
      <c r="AE380" s="3066" t="s">
        <v>3560</v>
      </c>
      <c r="AF380" s="3067">
        <v>1750</v>
      </c>
      <c r="AG380" s="3066">
        <v>1750</v>
      </c>
      <c r="AH380" s="3066">
        <v>84.63</v>
      </c>
      <c r="AI380" s="3066">
        <v>84.63</v>
      </c>
      <c r="AJ380" s="3066">
        <v>215.86</v>
      </c>
      <c r="AK380" s="3066">
        <v>215.86</v>
      </c>
      <c r="AL380" s="3066">
        <v>2050.4899999999998</v>
      </c>
      <c r="AM380" s="3066">
        <v>2050.4899999999998</v>
      </c>
      <c r="AN380" s="3066" t="s">
        <v>3560</v>
      </c>
      <c r="AP380" s="3068">
        <f t="shared" si="5"/>
        <v>43.424317617866009</v>
      </c>
    </row>
    <row r="381" spans="2:42" ht="27" customHeight="1">
      <c r="B381" s="3066">
        <v>389</v>
      </c>
      <c r="C381" s="3066" t="s">
        <v>3159</v>
      </c>
      <c r="D381" s="3066" t="s">
        <v>3915</v>
      </c>
      <c r="E381" s="3066" t="s">
        <v>4888</v>
      </c>
      <c r="F381" s="3066" t="s">
        <v>3917</v>
      </c>
      <c r="G381" s="3066" t="s">
        <v>3560</v>
      </c>
      <c r="H381" s="3066" t="s">
        <v>3560</v>
      </c>
      <c r="I381" s="3066" t="s">
        <v>4889</v>
      </c>
      <c r="J381" s="3066" t="s">
        <v>4889</v>
      </c>
      <c r="K381" s="3066" t="s">
        <v>3560</v>
      </c>
      <c r="L381" s="3066" t="s">
        <v>4890</v>
      </c>
      <c r="M381" s="3066" t="s">
        <v>4891</v>
      </c>
      <c r="N381" s="3066">
        <v>40.299999999999997</v>
      </c>
      <c r="O381" s="3066" t="s">
        <v>4892</v>
      </c>
      <c r="P381" s="3066" t="s">
        <v>3745</v>
      </c>
      <c r="Q381" s="3066">
        <v>0</v>
      </c>
      <c r="R381" s="3066">
        <v>3500</v>
      </c>
      <c r="S381" s="3066" t="s">
        <v>3567</v>
      </c>
      <c r="T381" s="3066">
        <v>43.42</v>
      </c>
      <c r="U381" s="3066">
        <v>1750</v>
      </c>
      <c r="V381" s="3066" t="s">
        <v>3560</v>
      </c>
      <c r="W381" s="3066" t="s">
        <v>3568</v>
      </c>
      <c r="X381" s="3066">
        <v>2.1</v>
      </c>
      <c r="Y381" s="3066">
        <v>1015.56</v>
      </c>
      <c r="Z381" s="3066" t="s">
        <v>3568</v>
      </c>
      <c r="AA381" s="3066" t="s">
        <v>3560</v>
      </c>
      <c r="AB381" s="3066" t="s">
        <v>4893</v>
      </c>
      <c r="AC381" s="3066" t="s">
        <v>4893</v>
      </c>
      <c r="AD381" s="3066" t="s">
        <v>4893</v>
      </c>
      <c r="AE381" s="3066" t="s">
        <v>3560</v>
      </c>
      <c r="AF381" s="3067">
        <v>1750</v>
      </c>
      <c r="AG381" s="3066">
        <v>0</v>
      </c>
      <c r="AH381" s="3066">
        <v>84.63</v>
      </c>
      <c r="AI381" s="3066">
        <v>0</v>
      </c>
      <c r="AJ381" s="3066">
        <v>140.93</v>
      </c>
      <c r="AK381" s="3066">
        <v>0</v>
      </c>
      <c r="AL381" s="3066">
        <v>1975.56</v>
      </c>
      <c r="AM381" s="3066">
        <v>0</v>
      </c>
      <c r="AN381" s="3066" t="s">
        <v>3560</v>
      </c>
      <c r="AP381" s="3068">
        <f t="shared" si="5"/>
        <v>43.424317617866009</v>
      </c>
    </row>
    <row r="382" spans="2:42" ht="27" customHeight="1">
      <c r="B382" s="3066">
        <v>390</v>
      </c>
      <c r="C382" s="3066" t="s">
        <v>3159</v>
      </c>
      <c r="D382" s="3066" t="s">
        <v>3915</v>
      </c>
      <c r="E382" s="3066" t="s">
        <v>4894</v>
      </c>
      <c r="F382" s="3066" t="s">
        <v>3917</v>
      </c>
      <c r="G382" s="3066" t="s">
        <v>3560</v>
      </c>
      <c r="H382" s="3066" t="s">
        <v>3560</v>
      </c>
      <c r="I382" s="3066" t="s">
        <v>3560</v>
      </c>
      <c r="J382" s="3066" t="s">
        <v>3560</v>
      </c>
      <c r="K382" s="3066" t="s">
        <v>3560</v>
      </c>
      <c r="L382" s="3066" t="s">
        <v>3560</v>
      </c>
      <c r="M382" s="3066" t="s">
        <v>4895</v>
      </c>
      <c r="N382" s="3066">
        <v>40.299999999999997</v>
      </c>
      <c r="O382" s="3066" t="s">
        <v>3560</v>
      </c>
      <c r="P382" s="3066" t="s">
        <v>3560</v>
      </c>
      <c r="Q382" s="3066">
        <v>0</v>
      </c>
      <c r="R382" s="3066">
        <v>0</v>
      </c>
      <c r="S382" s="3066" t="s">
        <v>3577</v>
      </c>
      <c r="T382" s="3066">
        <v>0</v>
      </c>
      <c r="U382" s="3066">
        <v>0</v>
      </c>
      <c r="V382" s="3066" t="s">
        <v>3560</v>
      </c>
      <c r="W382" s="3066" t="s">
        <v>3568</v>
      </c>
      <c r="X382" s="3066">
        <v>0</v>
      </c>
      <c r="Y382" s="3066">
        <v>0</v>
      </c>
      <c r="Z382" s="3066" t="s">
        <v>3568</v>
      </c>
      <c r="AA382" s="3066" t="s">
        <v>3560</v>
      </c>
      <c r="AB382" s="3066" t="s">
        <v>3560</v>
      </c>
      <c r="AC382" s="3066" t="s">
        <v>3560</v>
      </c>
      <c r="AD382" s="3066" t="s">
        <v>3560</v>
      </c>
      <c r="AE382" s="3066" t="s">
        <v>3560</v>
      </c>
      <c r="AF382" s="3067">
        <v>0</v>
      </c>
      <c r="AG382" s="3066">
        <v>0</v>
      </c>
      <c r="AH382" s="3066">
        <v>0</v>
      </c>
      <c r="AI382" s="3066">
        <v>0</v>
      </c>
      <c r="AJ382" s="3066">
        <v>0</v>
      </c>
      <c r="AK382" s="3066">
        <v>0</v>
      </c>
      <c r="AL382" s="3066">
        <v>0</v>
      </c>
      <c r="AM382" s="3066">
        <v>0</v>
      </c>
      <c r="AN382" s="3066" t="s">
        <v>3560</v>
      </c>
      <c r="AP382" s="3068">
        <f t="shared" si="5"/>
        <v>0</v>
      </c>
    </row>
    <row r="383" spans="2:42" ht="27" customHeight="1">
      <c r="B383" s="3066">
        <v>391</v>
      </c>
      <c r="C383" s="3066" t="s">
        <v>3159</v>
      </c>
      <c r="D383" s="3066" t="s">
        <v>3915</v>
      </c>
      <c r="E383" s="3066" t="s">
        <v>4896</v>
      </c>
      <c r="F383" s="3066" t="s">
        <v>3917</v>
      </c>
      <c r="G383" s="3066" t="s">
        <v>3560</v>
      </c>
      <c r="H383" s="3066" t="s">
        <v>3560</v>
      </c>
      <c r="I383" s="3066" t="s">
        <v>4880</v>
      </c>
      <c r="J383" s="3066" t="s">
        <v>4881</v>
      </c>
      <c r="K383" s="3066" t="s">
        <v>3560</v>
      </c>
      <c r="L383" s="3066" t="s">
        <v>4882</v>
      </c>
      <c r="M383" s="3066" t="s">
        <v>4897</v>
      </c>
      <c r="N383" s="3066">
        <v>40.299999999999997</v>
      </c>
      <c r="O383" s="3066" t="s">
        <v>4898</v>
      </c>
      <c r="P383" s="3066" t="s">
        <v>3566</v>
      </c>
      <c r="Q383" s="3066">
        <v>1</v>
      </c>
      <c r="R383" s="3066">
        <v>3500</v>
      </c>
      <c r="S383" s="3066" t="s">
        <v>3567</v>
      </c>
      <c r="T383" s="3066">
        <v>43.42</v>
      </c>
      <c r="U383" s="3066">
        <v>1750</v>
      </c>
      <c r="V383" s="3066" t="s">
        <v>3560</v>
      </c>
      <c r="W383" s="3066" t="s">
        <v>3568</v>
      </c>
      <c r="X383" s="3066">
        <v>2.1</v>
      </c>
      <c r="Y383" s="3066">
        <v>1015.56</v>
      </c>
      <c r="Z383" s="3066" t="s">
        <v>3568</v>
      </c>
      <c r="AA383" s="3066" t="s">
        <v>3560</v>
      </c>
      <c r="AB383" s="3066" t="s">
        <v>4899</v>
      </c>
      <c r="AC383" s="3066" t="s">
        <v>4899</v>
      </c>
      <c r="AD383" s="3066" t="s">
        <v>4899</v>
      </c>
      <c r="AE383" s="3066" t="s">
        <v>3560</v>
      </c>
      <c r="AF383" s="3067">
        <v>1750</v>
      </c>
      <c r="AG383" s="3066">
        <v>1750</v>
      </c>
      <c r="AH383" s="3066">
        <v>84.63</v>
      </c>
      <c r="AI383" s="3066">
        <v>84.63</v>
      </c>
      <c r="AJ383" s="3066">
        <v>0</v>
      </c>
      <c r="AK383" s="3066">
        <v>0</v>
      </c>
      <c r="AL383" s="3066">
        <v>1834.63</v>
      </c>
      <c r="AM383" s="3066">
        <v>1834.63</v>
      </c>
      <c r="AN383" s="3066" t="s">
        <v>3560</v>
      </c>
      <c r="AP383" s="3068">
        <f t="shared" si="5"/>
        <v>43.424317617866009</v>
      </c>
    </row>
    <row r="384" spans="2:42" ht="27" customHeight="1">
      <c r="B384" s="3066">
        <v>392</v>
      </c>
      <c r="C384" s="3066" t="s">
        <v>3159</v>
      </c>
      <c r="D384" s="3066" t="s">
        <v>3915</v>
      </c>
      <c r="E384" s="3066" t="s">
        <v>4900</v>
      </c>
      <c r="F384" s="3066" t="s">
        <v>3917</v>
      </c>
      <c r="G384" s="3066" t="s">
        <v>3560</v>
      </c>
      <c r="H384" s="3066" t="s">
        <v>3560</v>
      </c>
      <c r="I384" s="3066" t="s">
        <v>3560</v>
      </c>
      <c r="J384" s="3066" t="s">
        <v>3560</v>
      </c>
      <c r="K384" s="3066" t="s">
        <v>3560</v>
      </c>
      <c r="L384" s="3066" t="s">
        <v>3560</v>
      </c>
      <c r="M384" s="3066" t="s">
        <v>4901</v>
      </c>
      <c r="N384" s="3066">
        <v>40.299999999999997</v>
      </c>
      <c r="O384" s="3066" t="s">
        <v>3560</v>
      </c>
      <c r="P384" s="3066" t="s">
        <v>3560</v>
      </c>
      <c r="Q384" s="3066">
        <v>0</v>
      </c>
      <c r="R384" s="3066">
        <v>0</v>
      </c>
      <c r="S384" s="3066" t="s">
        <v>3577</v>
      </c>
      <c r="T384" s="3066">
        <v>0</v>
      </c>
      <c r="U384" s="3066">
        <v>0</v>
      </c>
      <c r="V384" s="3066" t="s">
        <v>3560</v>
      </c>
      <c r="W384" s="3066" t="s">
        <v>3568</v>
      </c>
      <c r="X384" s="3066">
        <v>0</v>
      </c>
      <c r="Y384" s="3066">
        <v>0</v>
      </c>
      <c r="Z384" s="3066" t="s">
        <v>3568</v>
      </c>
      <c r="AA384" s="3066" t="s">
        <v>3560</v>
      </c>
      <c r="AB384" s="3066" t="s">
        <v>3560</v>
      </c>
      <c r="AC384" s="3066" t="s">
        <v>3560</v>
      </c>
      <c r="AD384" s="3066" t="s">
        <v>3560</v>
      </c>
      <c r="AE384" s="3066" t="s">
        <v>3560</v>
      </c>
      <c r="AF384" s="3067">
        <v>0</v>
      </c>
      <c r="AG384" s="3066">
        <v>0</v>
      </c>
      <c r="AH384" s="3066">
        <v>0</v>
      </c>
      <c r="AI384" s="3066">
        <v>0</v>
      </c>
      <c r="AJ384" s="3066">
        <v>0</v>
      </c>
      <c r="AK384" s="3066">
        <v>0</v>
      </c>
      <c r="AL384" s="3066">
        <v>0</v>
      </c>
      <c r="AM384" s="3066">
        <v>0</v>
      </c>
      <c r="AN384" s="3066" t="s">
        <v>3560</v>
      </c>
      <c r="AP384" s="3068">
        <f t="shared" si="5"/>
        <v>0</v>
      </c>
    </row>
    <row r="385" spans="2:42" ht="27" customHeight="1">
      <c r="B385" s="3066">
        <v>393</v>
      </c>
      <c r="C385" s="3066" t="s">
        <v>3159</v>
      </c>
      <c r="D385" s="3066" t="s">
        <v>3915</v>
      </c>
      <c r="E385" s="3066" t="s">
        <v>4902</v>
      </c>
      <c r="F385" s="3066" t="s">
        <v>3917</v>
      </c>
      <c r="G385" s="3066" t="s">
        <v>3560</v>
      </c>
      <c r="H385" s="3066" t="s">
        <v>3560</v>
      </c>
      <c r="I385" s="3066" t="s">
        <v>4803</v>
      </c>
      <c r="J385" s="3066" t="s">
        <v>4803</v>
      </c>
      <c r="K385" s="3066" t="s">
        <v>3560</v>
      </c>
      <c r="L385" s="3066" t="s">
        <v>4804</v>
      </c>
      <c r="M385" s="3066" t="s">
        <v>4903</v>
      </c>
      <c r="N385" s="3066">
        <v>46.3</v>
      </c>
      <c r="O385" s="3066" t="s">
        <v>4904</v>
      </c>
      <c r="P385" s="3066" t="s">
        <v>3566</v>
      </c>
      <c r="Q385" s="3066">
        <v>2</v>
      </c>
      <c r="R385" s="3066">
        <v>3660</v>
      </c>
      <c r="S385" s="3066" t="s">
        <v>3567</v>
      </c>
      <c r="T385" s="3066">
        <v>39.520000000000003</v>
      </c>
      <c r="U385" s="3066">
        <v>1830</v>
      </c>
      <c r="V385" s="3066" t="s">
        <v>3560</v>
      </c>
      <c r="W385" s="3066" t="s">
        <v>3568</v>
      </c>
      <c r="X385" s="3066">
        <v>2.1</v>
      </c>
      <c r="Y385" s="3066">
        <v>1166.76</v>
      </c>
      <c r="Z385" s="3066" t="s">
        <v>3568</v>
      </c>
      <c r="AA385" s="3066" t="s">
        <v>3560</v>
      </c>
      <c r="AB385" s="3066" t="s">
        <v>4905</v>
      </c>
      <c r="AC385" s="3066" t="s">
        <v>4905</v>
      </c>
      <c r="AD385" s="3066" t="s">
        <v>4905</v>
      </c>
      <c r="AE385" s="3066" t="s">
        <v>3560</v>
      </c>
      <c r="AF385" s="3067">
        <v>1830</v>
      </c>
      <c r="AG385" s="3066">
        <v>1830</v>
      </c>
      <c r="AH385" s="3066">
        <v>97.23</v>
      </c>
      <c r="AI385" s="3066">
        <v>97.23</v>
      </c>
      <c r="AJ385" s="3066">
        <v>243.59</v>
      </c>
      <c r="AK385" s="3066">
        <v>243.59</v>
      </c>
      <c r="AL385" s="3066">
        <v>2170.8200000000002</v>
      </c>
      <c r="AM385" s="3066">
        <v>2170.8200000000002</v>
      </c>
      <c r="AN385" s="3066" t="s">
        <v>3560</v>
      </c>
      <c r="AP385" s="3068">
        <f t="shared" si="5"/>
        <v>39.524838012958966</v>
      </c>
    </row>
    <row r="386" spans="2:42" ht="27" customHeight="1">
      <c r="B386" s="3066">
        <v>394</v>
      </c>
      <c r="C386" s="3066" t="s">
        <v>3159</v>
      </c>
      <c r="D386" s="3066" t="s">
        <v>3926</v>
      </c>
      <c r="E386" s="3066" t="s">
        <v>4906</v>
      </c>
      <c r="F386" s="3066" t="s">
        <v>3917</v>
      </c>
      <c r="G386" s="3066" t="s">
        <v>3560</v>
      </c>
      <c r="H386" s="3066" t="s">
        <v>3560</v>
      </c>
      <c r="I386" s="3066" t="s">
        <v>4880</v>
      </c>
      <c r="J386" s="3066" t="s">
        <v>4881</v>
      </c>
      <c r="K386" s="3066" t="s">
        <v>3560</v>
      </c>
      <c r="L386" s="3066" t="s">
        <v>4882</v>
      </c>
      <c r="M386" s="3066" t="s">
        <v>4907</v>
      </c>
      <c r="N386" s="3066">
        <v>40.299999999999997</v>
      </c>
      <c r="O386" s="3066" t="s">
        <v>4516</v>
      </c>
      <c r="P386" s="3066" t="s">
        <v>3566</v>
      </c>
      <c r="Q386" s="3066">
        <v>0</v>
      </c>
      <c r="R386" s="3066">
        <v>0</v>
      </c>
      <c r="S386" s="3066" t="s">
        <v>3577</v>
      </c>
      <c r="T386" s="3066">
        <v>43.42</v>
      </c>
      <c r="U386" s="3066">
        <v>1750</v>
      </c>
      <c r="V386" s="3066" t="s">
        <v>3560</v>
      </c>
      <c r="W386" s="3066" t="s">
        <v>3568</v>
      </c>
      <c r="X386" s="3066">
        <v>2.1</v>
      </c>
      <c r="Y386" s="3066">
        <v>1015.56</v>
      </c>
      <c r="Z386" s="3066" t="s">
        <v>3568</v>
      </c>
      <c r="AA386" s="3066" t="s">
        <v>3560</v>
      </c>
      <c r="AB386" s="3066" t="s">
        <v>3584</v>
      </c>
      <c r="AC386" s="3066" t="s">
        <v>3584</v>
      </c>
      <c r="AD386" s="3066" t="s">
        <v>3584</v>
      </c>
      <c r="AE386" s="3066" t="s">
        <v>3560</v>
      </c>
      <c r="AF386" s="3067">
        <v>1750</v>
      </c>
      <c r="AG386" s="3066">
        <v>1750</v>
      </c>
      <c r="AH386" s="3066">
        <v>84.63</v>
      </c>
      <c r="AI386" s="3066">
        <v>84.63</v>
      </c>
      <c r="AJ386" s="3066">
        <v>204.26</v>
      </c>
      <c r="AK386" s="3066">
        <v>204.26</v>
      </c>
      <c r="AL386" s="3066">
        <v>2038.89</v>
      </c>
      <c r="AM386" s="3066">
        <v>2038.89</v>
      </c>
      <c r="AN386" s="3066" t="s">
        <v>3560</v>
      </c>
      <c r="AP386" s="3068">
        <f t="shared" si="5"/>
        <v>43.424317617866009</v>
      </c>
    </row>
    <row r="387" spans="2:42" ht="27" customHeight="1">
      <c r="B387" s="3066">
        <v>395</v>
      </c>
      <c r="C387" s="3066" t="s">
        <v>3159</v>
      </c>
      <c r="D387" s="3066" t="s">
        <v>3926</v>
      </c>
      <c r="E387" s="3066" t="s">
        <v>4908</v>
      </c>
      <c r="F387" s="3066" t="s">
        <v>3917</v>
      </c>
      <c r="G387" s="3066" t="s">
        <v>3560</v>
      </c>
      <c r="H387" s="3066" t="s">
        <v>3560</v>
      </c>
      <c r="I387" s="3066" t="s">
        <v>3560</v>
      </c>
      <c r="J387" s="3066" t="s">
        <v>3560</v>
      </c>
      <c r="K387" s="3066" t="s">
        <v>3560</v>
      </c>
      <c r="L387" s="3066" t="s">
        <v>3560</v>
      </c>
      <c r="M387" s="3066" t="s">
        <v>4909</v>
      </c>
      <c r="N387" s="3066">
        <v>40.299999999999997</v>
      </c>
      <c r="O387" s="3066" t="s">
        <v>3560</v>
      </c>
      <c r="P387" s="3066" t="s">
        <v>3560</v>
      </c>
      <c r="Q387" s="3066">
        <v>0</v>
      </c>
      <c r="R387" s="3066">
        <v>0</v>
      </c>
      <c r="S387" s="3066" t="s">
        <v>3577</v>
      </c>
      <c r="T387" s="3066">
        <v>0</v>
      </c>
      <c r="U387" s="3066">
        <v>0</v>
      </c>
      <c r="V387" s="3066" t="s">
        <v>3560</v>
      </c>
      <c r="W387" s="3066" t="s">
        <v>3568</v>
      </c>
      <c r="X387" s="3066">
        <v>0</v>
      </c>
      <c r="Y387" s="3066">
        <v>0</v>
      </c>
      <c r="Z387" s="3066" t="s">
        <v>3568</v>
      </c>
      <c r="AA387" s="3066" t="s">
        <v>3560</v>
      </c>
      <c r="AB387" s="3066" t="s">
        <v>3560</v>
      </c>
      <c r="AC387" s="3066" t="s">
        <v>3560</v>
      </c>
      <c r="AD387" s="3066" t="s">
        <v>3560</v>
      </c>
      <c r="AE387" s="3066" t="s">
        <v>3560</v>
      </c>
      <c r="AF387" s="3067">
        <v>0</v>
      </c>
      <c r="AG387" s="3066">
        <v>0</v>
      </c>
      <c r="AH387" s="3066">
        <v>0</v>
      </c>
      <c r="AI387" s="3066">
        <v>0</v>
      </c>
      <c r="AJ387" s="3066">
        <v>0</v>
      </c>
      <c r="AK387" s="3066">
        <v>0</v>
      </c>
      <c r="AL387" s="3066">
        <v>0</v>
      </c>
      <c r="AM387" s="3066">
        <v>0</v>
      </c>
      <c r="AN387" s="3066" t="s">
        <v>3560</v>
      </c>
      <c r="AP387" s="3068">
        <f t="shared" si="5"/>
        <v>0</v>
      </c>
    </row>
    <row r="388" spans="2:42" ht="27" customHeight="1">
      <c r="B388" s="3066">
        <v>396</v>
      </c>
      <c r="C388" s="3066" t="s">
        <v>3159</v>
      </c>
      <c r="D388" s="3066" t="s">
        <v>3926</v>
      </c>
      <c r="E388" s="3066" t="s">
        <v>4910</v>
      </c>
      <c r="F388" s="3066" t="s">
        <v>3917</v>
      </c>
      <c r="G388" s="3066" t="s">
        <v>3560</v>
      </c>
      <c r="H388" s="3066" t="s">
        <v>3560</v>
      </c>
      <c r="I388" s="3066" t="s">
        <v>4911</v>
      </c>
      <c r="J388" s="3066" t="s">
        <v>4911</v>
      </c>
      <c r="K388" s="3066" t="s">
        <v>3560</v>
      </c>
      <c r="L388" s="3066" t="s">
        <v>4912</v>
      </c>
      <c r="M388" s="3066" t="s">
        <v>4913</v>
      </c>
      <c r="N388" s="3066">
        <v>40.299999999999997</v>
      </c>
      <c r="O388" s="3066" t="s">
        <v>3619</v>
      </c>
      <c r="P388" s="3066" t="s">
        <v>3566</v>
      </c>
      <c r="Q388" s="3066">
        <v>1</v>
      </c>
      <c r="R388" s="3066">
        <v>3500</v>
      </c>
      <c r="S388" s="3066" t="s">
        <v>3567</v>
      </c>
      <c r="T388" s="3066">
        <v>43.42</v>
      </c>
      <c r="U388" s="3066">
        <v>1750</v>
      </c>
      <c r="V388" s="3066" t="s">
        <v>3560</v>
      </c>
      <c r="W388" s="3066" t="s">
        <v>3568</v>
      </c>
      <c r="X388" s="3066">
        <v>2.1</v>
      </c>
      <c r="Y388" s="3066">
        <v>1015.56</v>
      </c>
      <c r="Z388" s="3066" t="s">
        <v>3568</v>
      </c>
      <c r="AA388" s="3066" t="s">
        <v>3560</v>
      </c>
      <c r="AB388" s="3066" t="s">
        <v>3584</v>
      </c>
      <c r="AC388" s="3066" t="s">
        <v>3584</v>
      </c>
      <c r="AD388" s="3066" t="s">
        <v>3584</v>
      </c>
      <c r="AE388" s="3066" t="s">
        <v>3560</v>
      </c>
      <c r="AF388" s="3067">
        <v>1750</v>
      </c>
      <c r="AG388" s="3066">
        <v>1750</v>
      </c>
      <c r="AH388" s="3066">
        <v>84.63</v>
      </c>
      <c r="AI388" s="3066">
        <v>84.63</v>
      </c>
      <c r="AJ388" s="3066">
        <v>101.46</v>
      </c>
      <c r="AK388" s="3066">
        <v>101.46</v>
      </c>
      <c r="AL388" s="3066">
        <v>1936.09</v>
      </c>
      <c r="AM388" s="3066">
        <v>1936.09</v>
      </c>
      <c r="AN388" s="3066" t="s">
        <v>3560</v>
      </c>
      <c r="AP388" s="3068">
        <f t="shared" ref="AP388:AP451" si="6">AF388/N388</f>
        <v>43.424317617866009</v>
      </c>
    </row>
    <row r="389" spans="2:42" ht="27" customHeight="1">
      <c r="B389" s="3066">
        <v>397</v>
      </c>
      <c r="C389" s="3066" t="s">
        <v>3159</v>
      </c>
      <c r="D389" s="3066" t="s">
        <v>3926</v>
      </c>
      <c r="E389" s="3066" t="s">
        <v>4914</v>
      </c>
      <c r="F389" s="3066" t="s">
        <v>3917</v>
      </c>
      <c r="G389" s="3066" t="s">
        <v>3560</v>
      </c>
      <c r="H389" s="3066" t="s">
        <v>3560</v>
      </c>
      <c r="I389" s="3066" t="s">
        <v>4915</v>
      </c>
      <c r="J389" s="3066" t="s">
        <v>4916</v>
      </c>
      <c r="K389" s="3066" t="s">
        <v>3560</v>
      </c>
      <c r="L389" s="3066" t="s">
        <v>3560</v>
      </c>
      <c r="M389" s="3066" t="s">
        <v>4917</v>
      </c>
      <c r="N389" s="3066">
        <v>40.299999999999997</v>
      </c>
      <c r="O389" s="3066" t="s">
        <v>4918</v>
      </c>
      <c r="P389" s="3066" t="s">
        <v>3566</v>
      </c>
      <c r="Q389" s="3066">
        <v>1</v>
      </c>
      <c r="R389" s="3066">
        <v>10500</v>
      </c>
      <c r="S389" s="3066" t="s">
        <v>3567</v>
      </c>
      <c r="T389" s="3066">
        <v>43.42</v>
      </c>
      <c r="U389" s="3066">
        <v>1750</v>
      </c>
      <c r="V389" s="3066" t="s">
        <v>3560</v>
      </c>
      <c r="W389" s="3066" t="s">
        <v>3568</v>
      </c>
      <c r="X389" s="3066">
        <v>2.1</v>
      </c>
      <c r="Y389" s="3066">
        <v>1015.56</v>
      </c>
      <c r="Z389" s="3066" t="s">
        <v>3568</v>
      </c>
      <c r="AA389" s="3066" t="s">
        <v>3560</v>
      </c>
      <c r="AB389" s="3066" t="s">
        <v>4919</v>
      </c>
      <c r="AC389" s="3066" t="s">
        <v>4919</v>
      </c>
      <c r="AD389" s="3066" t="s">
        <v>4919</v>
      </c>
      <c r="AE389" s="3066" t="s">
        <v>3560</v>
      </c>
      <c r="AF389" s="3067">
        <v>1750</v>
      </c>
      <c r="AG389" s="3066">
        <v>1750</v>
      </c>
      <c r="AH389" s="3066">
        <v>84.63</v>
      </c>
      <c r="AI389" s="3066">
        <v>84.63</v>
      </c>
      <c r="AJ389" s="3066">
        <v>77.73</v>
      </c>
      <c r="AK389" s="3066">
        <v>77.73</v>
      </c>
      <c r="AL389" s="3066">
        <v>1912.36</v>
      </c>
      <c r="AM389" s="3066">
        <v>1912.36</v>
      </c>
      <c r="AN389" s="3066" t="s">
        <v>3560</v>
      </c>
      <c r="AP389" s="3068">
        <f t="shared" si="6"/>
        <v>43.424317617866009</v>
      </c>
    </row>
    <row r="390" spans="2:42" ht="27" customHeight="1">
      <c r="B390" s="3066">
        <v>398</v>
      </c>
      <c r="C390" s="3066" t="s">
        <v>3159</v>
      </c>
      <c r="D390" s="3066" t="s">
        <v>3926</v>
      </c>
      <c r="E390" s="3066" t="s">
        <v>4920</v>
      </c>
      <c r="F390" s="3066" t="s">
        <v>3917</v>
      </c>
      <c r="G390" s="3066" t="s">
        <v>3560</v>
      </c>
      <c r="H390" s="3066" t="s">
        <v>3560</v>
      </c>
      <c r="I390" s="3066" t="s">
        <v>4915</v>
      </c>
      <c r="J390" s="3066" t="s">
        <v>4916</v>
      </c>
      <c r="K390" s="3066" t="s">
        <v>3560</v>
      </c>
      <c r="L390" s="3066" t="s">
        <v>3560</v>
      </c>
      <c r="M390" s="3066" t="s">
        <v>4921</v>
      </c>
      <c r="N390" s="3066">
        <v>40.299999999999997</v>
      </c>
      <c r="O390" s="3066" t="s">
        <v>4918</v>
      </c>
      <c r="P390" s="3066" t="s">
        <v>3566</v>
      </c>
      <c r="Q390" s="3066">
        <v>1</v>
      </c>
      <c r="R390" s="3066">
        <v>0</v>
      </c>
      <c r="S390" s="3066" t="s">
        <v>3577</v>
      </c>
      <c r="T390" s="3066">
        <v>43.42</v>
      </c>
      <c r="U390" s="3066">
        <v>1750</v>
      </c>
      <c r="V390" s="3066" t="s">
        <v>3560</v>
      </c>
      <c r="W390" s="3066" t="s">
        <v>3568</v>
      </c>
      <c r="X390" s="3066">
        <v>2.1</v>
      </c>
      <c r="Y390" s="3066">
        <v>1015.56</v>
      </c>
      <c r="Z390" s="3066" t="s">
        <v>3568</v>
      </c>
      <c r="AA390" s="3066" t="s">
        <v>3560</v>
      </c>
      <c r="AB390" s="3066" t="s">
        <v>4919</v>
      </c>
      <c r="AC390" s="3066" t="s">
        <v>4919</v>
      </c>
      <c r="AD390" s="3066" t="s">
        <v>4919</v>
      </c>
      <c r="AE390" s="3066" t="s">
        <v>3560</v>
      </c>
      <c r="AF390" s="3067">
        <v>1750</v>
      </c>
      <c r="AG390" s="3066">
        <v>1750</v>
      </c>
      <c r="AH390" s="3066">
        <v>84.63</v>
      </c>
      <c r="AI390" s="3066">
        <v>84.63</v>
      </c>
      <c r="AJ390" s="3066">
        <v>191.06</v>
      </c>
      <c r="AK390" s="3066">
        <v>191.06</v>
      </c>
      <c r="AL390" s="3066">
        <v>2025.69</v>
      </c>
      <c r="AM390" s="3066">
        <v>2025.69</v>
      </c>
      <c r="AN390" s="3066" t="s">
        <v>3560</v>
      </c>
      <c r="AP390" s="3068">
        <f t="shared" si="6"/>
        <v>43.424317617866009</v>
      </c>
    </row>
    <row r="391" spans="2:42" ht="27" customHeight="1">
      <c r="B391" s="3066">
        <v>399</v>
      </c>
      <c r="C391" s="3066" t="s">
        <v>3159</v>
      </c>
      <c r="D391" s="3066" t="s">
        <v>3926</v>
      </c>
      <c r="E391" s="3066" t="s">
        <v>4922</v>
      </c>
      <c r="F391" s="3066" t="s">
        <v>3917</v>
      </c>
      <c r="G391" s="3066" t="s">
        <v>3560</v>
      </c>
      <c r="H391" s="3066" t="s">
        <v>3560</v>
      </c>
      <c r="I391" s="3066" t="s">
        <v>4915</v>
      </c>
      <c r="J391" s="3066" t="s">
        <v>4916</v>
      </c>
      <c r="K391" s="3066" t="s">
        <v>3560</v>
      </c>
      <c r="L391" s="3066" t="s">
        <v>3560</v>
      </c>
      <c r="M391" s="3066" t="s">
        <v>4923</v>
      </c>
      <c r="N391" s="3066">
        <v>40.299999999999997</v>
      </c>
      <c r="O391" s="3066" t="s">
        <v>4918</v>
      </c>
      <c r="P391" s="3066" t="s">
        <v>3566</v>
      </c>
      <c r="Q391" s="3066">
        <v>1</v>
      </c>
      <c r="R391" s="3066">
        <v>0</v>
      </c>
      <c r="S391" s="3066" t="s">
        <v>3577</v>
      </c>
      <c r="T391" s="3066">
        <v>43.42</v>
      </c>
      <c r="U391" s="3066">
        <v>1750</v>
      </c>
      <c r="V391" s="3066" t="s">
        <v>3560</v>
      </c>
      <c r="W391" s="3066" t="s">
        <v>3568</v>
      </c>
      <c r="X391" s="3066">
        <v>2.1</v>
      </c>
      <c r="Y391" s="3066">
        <v>1015.56</v>
      </c>
      <c r="Z391" s="3066" t="s">
        <v>3568</v>
      </c>
      <c r="AA391" s="3066" t="s">
        <v>3560</v>
      </c>
      <c r="AB391" s="3066" t="s">
        <v>4919</v>
      </c>
      <c r="AC391" s="3066" t="s">
        <v>4919</v>
      </c>
      <c r="AD391" s="3066" t="s">
        <v>4919</v>
      </c>
      <c r="AE391" s="3066" t="s">
        <v>3560</v>
      </c>
      <c r="AF391" s="3067">
        <v>1750</v>
      </c>
      <c r="AG391" s="3066">
        <v>1750</v>
      </c>
      <c r="AH391" s="3066">
        <v>84.63</v>
      </c>
      <c r="AI391" s="3066">
        <v>84.63</v>
      </c>
      <c r="AJ391" s="3066">
        <v>235.59</v>
      </c>
      <c r="AK391" s="3066">
        <v>235.59</v>
      </c>
      <c r="AL391" s="3066">
        <v>2070.2199999999998</v>
      </c>
      <c r="AM391" s="3066">
        <v>2070.2199999999998</v>
      </c>
      <c r="AN391" s="3066" t="s">
        <v>3560</v>
      </c>
      <c r="AP391" s="3068">
        <f t="shared" si="6"/>
        <v>43.424317617866009</v>
      </c>
    </row>
    <row r="392" spans="2:42" ht="27" customHeight="1">
      <c r="B392" s="3066">
        <v>400</v>
      </c>
      <c r="C392" s="3066" t="s">
        <v>3159</v>
      </c>
      <c r="D392" s="3066" t="s">
        <v>3926</v>
      </c>
      <c r="E392" s="3066" t="s">
        <v>4924</v>
      </c>
      <c r="F392" s="3066" t="s">
        <v>3917</v>
      </c>
      <c r="G392" s="3066" t="s">
        <v>3560</v>
      </c>
      <c r="H392" s="3066" t="s">
        <v>3560</v>
      </c>
      <c r="I392" s="3066" t="s">
        <v>4925</v>
      </c>
      <c r="J392" s="3066" t="s">
        <v>4926</v>
      </c>
      <c r="K392" s="3066" t="s">
        <v>3560</v>
      </c>
      <c r="L392" s="3066" t="s">
        <v>4927</v>
      </c>
      <c r="M392" s="3066" t="s">
        <v>4928</v>
      </c>
      <c r="N392" s="3066">
        <v>40.299999999999997</v>
      </c>
      <c r="O392" s="3066" t="s">
        <v>4929</v>
      </c>
      <c r="P392" s="3066" t="s">
        <v>3566</v>
      </c>
      <c r="Q392" s="3066">
        <v>1</v>
      </c>
      <c r="R392" s="3066">
        <v>6900</v>
      </c>
      <c r="S392" s="3066" t="s">
        <v>3567</v>
      </c>
      <c r="T392" s="3066">
        <v>43.42</v>
      </c>
      <c r="U392" s="3066">
        <v>1750</v>
      </c>
      <c r="V392" s="3066" t="s">
        <v>3560</v>
      </c>
      <c r="W392" s="3066" t="s">
        <v>3568</v>
      </c>
      <c r="X392" s="3066">
        <v>2.1</v>
      </c>
      <c r="Y392" s="3066">
        <v>1015.56</v>
      </c>
      <c r="Z392" s="3066" t="s">
        <v>3568</v>
      </c>
      <c r="AA392" s="3066" t="s">
        <v>3560</v>
      </c>
      <c r="AB392" s="3066" t="s">
        <v>4930</v>
      </c>
      <c r="AC392" s="3066" t="s">
        <v>4930</v>
      </c>
      <c r="AD392" s="3066" t="s">
        <v>4930</v>
      </c>
      <c r="AE392" s="3066" t="s">
        <v>3560</v>
      </c>
      <c r="AF392" s="3067">
        <v>1750</v>
      </c>
      <c r="AG392" s="3066">
        <v>1750</v>
      </c>
      <c r="AH392" s="3066">
        <v>84.63</v>
      </c>
      <c r="AI392" s="3066">
        <v>84.63</v>
      </c>
      <c r="AJ392" s="3066">
        <v>124.13</v>
      </c>
      <c r="AK392" s="3066">
        <v>124.13</v>
      </c>
      <c r="AL392" s="3066">
        <v>1958.76</v>
      </c>
      <c r="AM392" s="3066">
        <v>1958.76</v>
      </c>
      <c r="AN392" s="3066" t="s">
        <v>3560</v>
      </c>
      <c r="AP392" s="3068">
        <f t="shared" si="6"/>
        <v>43.424317617866009</v>
      </c>
    </row>
    <row r="393" spans="2:42" ht="27" customHeight="1">
      <c r="B393" s="3066">
        <v>401</v>
      </c>
      <c r="C393" s="3066" t="s">
        <v>3159</v>
      </c>
      <c r="D393" s="3066" t="s">
        <v>3926</v>
      </c>
      <c r="E393" s="3066" t="s">
        <v>4931</v>
      </c>
      <c r="F393" s="3066" t="s">
        <v>3917</v>
      </c>
      <c r="G393" s="3066" t="s">
        <v>3560</v>
      </c>
      <c r="H393" s="3066" t="s">
        <v>3560</v>
      </c>
      <c r="I393" s="3066" t="s">
        <v>4932</v>
      </c>
      <c r="J393" s="3066" t="s">
        <v>4933</v>
      </c>
      <c r="K393" s="3066" t="s">
        <v>3560</v>
      </c>
      <c r="L393" s="3066" t="s">
        <v>4934</v>
      </c>
      <c r="M393" s="3066" t="s">
        <v>4935</v>
      </c>
      <c r="N393" s="3066">
        <v>40.299999999999997</v>
      </c>
      <c r="O393" s="3066" t="s">
        <v>4936</v>
      </c>
      <c r="P393" s="3066" t="s">
        <v>3566</v>
      </c>
      <c r="Q393" s="3066">
        <v>0</v>
      </c>
      <c r="R393" s="3066">
        <v>3500</v>
      </c>
      <c r="S393" s="3066" t="s">
        <v>3567</v>
      </c>
      <c r="T393" s="3066">
        <v>43.42</v>
      </c>
      <c r="U393" s="3066">
        <v>1750</v>
      </c>
      <c r="V393" s="3066" t="s">
        <v>3560</v>
      </c>
      <c r="W393" s="3066" t="s">
        <v>3568</v>
      </c>
      <c r="X393" s="3066">
        <v>2.1</v>
      </c>
      <c r="Y393" s="3066">
        <v>1015.56</v>
      </c>
      <c r="Z393" s="3066" t="s">
        <v>3568</v>
      </c>
      <c r="AA393" s="3066" t="s">
        <v>3560</v>
      </c>
      <c r="AB393" s="3066" t="s">
        <v>4937</v>
      </c>
      <c r="AC393" s="3066" t="s">
        <v>4937</v>
      </c>
      <c r="AD393" s="3066" t="s">
        <v>4937</v>
      </c>
      <c r="AE393" s="3066" t="s">
        <v>3560</v>
      </c>
      <c r="AF393" s="3067">
        <v>1750</v>
      </c>
      <c r="AG393" s="3066">
        <v>1750</v>
      </c>
      <c r="AH393" s="3066">
        <v>84.63</v>
      </c>
      <c r="AI393" s="3066">
        <v>0</v>
      </c>
      <c r="AJ393" s="3066">
        <v>4.8</v>
      </c>
      <c r="AK393" s="3066">
        <v>0</v>
      </c>
      <c r="AL393" s="3066">
        <v>1839.43</v>
      </c>
      <c r="AM393" s="3066">
        <v>1750</v>
      </c>
      <c r="AN393" s="3066" t="s">
        <v>3560</v>
      </c>
      <c r="AP393" s="3068">
        <f t="shared" si="6"/>
        <v>43.424317617866009</v>
      </c>
    </row>
    <row r="394" spans="2:42" ht="27" customHeight="1">
      <c r="B394" s="3066">
        <v>402</v>
      </c>
      <c r="C394" s="3066" t="s">
        <v>3159</v>
      </c>
      <c r="D394" s="3066" t="s">
        <v>3926</v>
      </c>
      <c r="E394" s="3066" t="s">
        <v>4938</v>
      </c>
      <c r="F394" s="3066" t="s">
        <v>3917</v>
      </c>
      <c r="G394" s="3066" t="s">
        <v>3560</v>
      </c>
      <c r="H394" s="3066" t="s">
        <v>3560</v>
      </c>
      <c r="I394" s="3066" t="s">
        <v>4939</v>
      </c>
      <c r="J394" s="3066" t="s">
        <v>4940</v>
      </c>
      <c r="K394" s="3066" t="s">
        <v>3560</v>
      </c>
      <c r="L394" s="3066" t="s">
        <v>3560</v>
      </c>
      <c r="M394" s="3066" t="s">
        <v>4941</v>
      </c>
      <c r="N394" s="3066">
        <v>40.299999999999997</v>
      </c>
      <c r="O394" s="3066" t="s">
        <v>3744</v>
      </c>
      <c r="P394" s="3066" t="s">
        <v>3566</v>
      </c>
      <c r="Q394" s="3066">
        <v>1</v>
      </c>
      <c r="R394" s="3066">
        <v>3400</v>
      </c>
      <c r="S394" s="3066" t="s">
        <v>3567</v>
      </c>
      <c r="T394" s="3066">
        <v>43.42</v>
      </c>
      <c r="U394" s="3066">
        <v>1750</v>
      </c>
      <c r="V394" s="3066" t="s">
        <v>3560</v>
      </c>
      <c r="W394" s="3066" t="s">
        <v>3568</v>
      </c>
      <c r="X394" s="3066">
        <v>2.1</v>
      </c>
      <c r="Y394" s="3066">
        <v>1015.56</v>
      </c>
      <c r="Z394" s="3066" t="s">
        <v>3568</v>
      </c>
      <c r="AA394" s="3066" t="s">
        <v>3560</v>
      </c>
      <c r="AB394" s="3066" t="s">
        <v>3746</v>
      </c>
      <c r="AC394" s="3066" t="s">
        <v>3746</v>
      </c>
      <c r="AD394" s="3066" t="s">
        <v>3746</v>
      </c>
      <c r="AE394" s="3066" t="s">
        <v>3560</v>
      </c>
      <c r="AF394" s="3067">
        <v>1750</v>
      </c>
      <c r="AG394" s="3066">
        <v>1750</v>
      </c>
      <c r="AH394" s="3066">
        <v>84.63</v>
      </c>
      <c r="AI394" s="3066">
        <v>84.63</v>
      </c>
      <c r="AJ394" s="3066">
        <v>324.79000000000002</v>
      </c>
      <c r="AK394" s="3066">
        <v>324.79000000000002</v>
      </c>
      <c r="AL394" s="3066">
        <v>2159.42</v>
      </c>
      <c r="AM394" s="3066">
        <v>2159.42</v>
      </c>
      <c r="AN394" s="3066" t="s">
        <v>3560</v>
      </c>
      <c r="AP394" s="3068">
        <f t="shared" si="6"/>
        <v>43.424317617866009</v>
      </c>
    </row>
    <row r="395" spans="2:42" ht="27" customHeight="1">
      <c r="B395" s="3066">
        <v>403</v>
      </c>
      <c r="C395" s="3066" t="s">
        <v>3159</v>
      </c>
      <c r="D395" s="3066" t="s">
        <v>3926</v>
      </c>
      <c r="E395" s="3066" t="s">
        <v>4942</v>
      </c>
      <c r="F395" s="3066" t="s">
        <v>3917</v>
      </c>
      <c r="G395" s="3066" t="s">
        <v>3560</v>
      </c>
      <c r="H395" s="3066" t="s">
        <v>3560</v>
      </c>
      <c r="I395" s="3066" t="s">
        <v>4943</v>
      </c>
      <c r="J395" s="3066" t="s">
        <v>4943</v>
      </c>
      <c r="K395" s="3066" t="s">
        <v>3560</v>
      </c>
      <c r="L395" s="3066" t="s">
        <v>4944</v>
      </c>
      <c r="M395" s="3066" t="s">
        <v>4945</v>
      </c>
      <c r="N395" s="3066">
        <v>40.299999999999997</v>
      </c>
      <c r="O395" s="3066" t="s">
        <v>4428</v>
      </c>
      <c r="P395" s="3066" t="s">
        <v>3566</v>
      </c>
      <c r="Q395" s="3066">
        <v>1</v>
      </c>
      <c r="R395" s="3066">
        <v>3500</v>
      </c>
      <c r="S395" s="3066" t="s">
        <v>3567</v>
      </c>
      <c r="T395" s="3066">
        <v>43.42</v>
      </c>
      <c r="U395" s="3066">
        <v>1750</v>
      </c>
      <c r="V395" s="3066" t="s">
        <v>3560</v>
      </c>
      <c r="W395" s="3066" t="s">
        <v>3568</v>
      </c>
      <c r="X395" s="3066">
        <v>2.1</v>
      </c>
      <c r="Y395" s="3066">
        <v>1015.56</v>
      </c>
      <c r="Z395" s="3066" t="s">
        <v>3568</v>
      </c>
      <c r="AA395" s="3066" t="s">
        <v>3560</v>
      </c>
      <c r="AB395" s="3066" t="s">
        <v>4429</v>
      </c>
      <c r="AC395" s="3066" t="s">
        <v>4429</v>
      </c>
      <c r="AD395" s="3066" t="s">
        <v>4429</v>
      </c>
      <c r="AE395" s="3066" t="s">
        <v>3560</v>
      </c>
      <c r="AF395" s="3067">
        <v>1750</v>
      </c>
      <c r="AG395" s="3066">
        <v>1750</v>
      </c>
      <c r="AH395" s="3066">
        <v>84.63</v>
      </c>
      <c r="AI395" s="3066">
        <v>84.63</v>
      </c>
      <c r="AJ395" s="3066">
        <v>151.86000000000001</v>
      </c>
      <c r="AK395" s="3066">
        <v>151.86000000000001</v>
      </c>
      <c r="AL395" s="3066">
        <v>1986.49</v>
      </c>
      <c r="AM395" s="3066">
        <v>1986.49</v>
      </c>
      <c r="AN395" s="3066" t="s">
        <v>3560</v>
      </c>
      <c r="AP395" s="3068">
        <f t="shared" si="6"/>
        <v>43.424317617866009</v>
      </c>
    </row>
    <row r="396" spans="2:42" ht="27" customHeight="1">
      <c r="B396" s="3066">
        <v>404</v>
      </c>
      <c r="C396" s="3066" t="s">
        <v>3159</v>
      </c>
      <c r="D396" s="3066" t="s">
        <v>3926</v>
      </c>
      <c r="E396" s="3066" t="s">
        <v>4946</v>
      </c>
      <c r="F396" s="3066" t="s">
        <v>3917</v>
      </c>
      <c r="G396" s="3066" t="s">
        <v>3560</v>
      </c>
      <c r="H396" s="3066" t="s">
        <v>3560</v>
      </c>
      <c r="I396" s="3066" t="s">
        <v>3560</v>
      </c>
      <c r="J396" s="3066" t="s">
        <v>3560</v>
      </c>
      <c r="K396" s="3066" t="s">
        <v>3560</v>
      </c>
      <c r="L396" s="3066" t="s">
        <v>3560</v>
      </c>
      <c r="M396" s="3066" t="s">
        <v>4947</v>
      </c>
      <c r="N396" s="3066">
        <v>40.299999999999997</v>
      </c>
      <c r="O396" s="3066" t="s">
        <v>3560</v>
      </c>
      <c r="P396" s="3066" t="s">
        <v>3560</v>
      </c>
      <c r="Q396" s="3066">
        <v>0</v>
      </c>
      <c r="R396" s="3066">
        <v>0</v>
      </c>
      <c r="S396" s="3066" t="s">
        <v>3577</v>
      </c>
      <c r="T396" s="3066">
        <v>0</v>
      </c>
      <c r="U396" s="3066">
        <v>0</v>
      </c>
      <c r="V396" s="3066" t="s">
        <v>3560</v>
      </c>
      <c r="W396" s="3066" t="s">
        <v>3568</v>
      </c>
      <c r="X396" s="3066">
        <v>0</v>
      </c>
      <c r="Y396" s="3066">
        <v>0</v>
      </c>
      <c r="Z396" s="3066" t="s">
        <v>3568</v>
      </c>
      <c r="AA396" s="3066" t="s">
        <v>3560</v>
      </c>
      <c r="AB396" s="3066" t="s">
        <v>3560</v>
      </c>
      <c r="AC396" s="3066" t="s">
        <v>3560</v>
      </c>
      <c r="AD396" s="3066" t="s">
        <v>3560</v>
      </c>
      <c r="AE396" s="3066" t="s">
        <v>3560</v>
      </c>
      <c r="AF396" s="3067">
        <v>0</v>
      </c>
      <c r="AG396" s="3066">
        <v>0</v>
      </c>
      <c r="AH396" s="3066">
        <v>0</v>
      </c>
      <c r="AI396" s="3066">
        <v>0</v>
      </c>
      <c r="AJ396" s="3066">
        <v>0</v>
      </c>
      <c r="AK396" s="3066">
        <v>0</v>
      </c>
      <c r="AL396" s="3066">
        <v>0</v>
      </c>
      <c r="AM396" s="3066">
        <v>0</v>
      </c>
      <c r="AN396" s="3066" t="s">
        <v>3560</v>
      </c>
      <c r="AP396" s="3068">
        <f t="shared" si="6"/>
        <v>0</v>
      </c>
    </row>
    <row r="397" spans="2:42" ht="27" customHeight="1">
      <c r="B397" s="3066">
        <v>405</v>
      </c>
      <c r="C397" s="3066" t="s">
        <v>3159</v>
      </c>
      <c r="D397" s="3066" t="s">
        <v>3926</v>
      </c>
      <c r="E397" s="3066" t="s">
        <v>4948</v>
      </c>
      <c r="F397" s="3066" t="s">
        <v>3917</v>
      </c>
      <c r="G397" s="3066" t="s">
        <v>3560</v>
      </c>
      <c r="H397" s="3066" t="s">
        <v>3560</v>
      </c>
      <c r="I397" s="3066" t="s">
        <v>4943</v>
      </c>
      <c r="J397" s="3066" t="s">
        <v>4943</v>
      </c>
      <c r="K397" s="3066" t="s">
        <v>3560</v>
      </c>
      <c r="L397" s="3066" t="s">
        <v>4944</v>
      </c>
      <c r="M397" s="3066" t="s">
        <v>4949</v>
      </c>
      <c r="N397" s="3066">
        <v>46.3</v>
      </c>
      <c r="O397" s="3066" t="s">
        <v>4950</v>
      </c>
      <c r="P397" s="3066" t="s">
        <v>3566</v>
      </c>
      <c r="Q397" s="3066">
        <v>0</v>
      </c>
      <c r="R397" s="3066">
        <v>3700</v>
      </c>
      <c r="S397" s="3066" t="s">
        <v>3567</v>
      </c>
      <c r="T397" s="3066">
        <v>39.96</v>
      </c>
      <c r="U397" s="3066">
        <v>1850</v>
      </c>
      <c r="V397" s="3066" t="s">
        <v>3560</v>
      </c>
      <c r="W397" s="3066" t="s">
        <v>3568</v>
      </c>
      <c r="X397" s="3066">
        <v>2.1</v>
      </c>
      <c r="Y397" s="3066">
        <v>1166.76</v>
      </c>
      <c r="Z397" s="3066" t="s">
        <v>3568</v>
      </c>
      <c r="AA397" s="3066" t="s">
        <v>3560</v>
      </c>
      <c r="AB397" s="3066" t="s">
        <v>4811</v>
      </c>
      <c r="AC397" s="3066" t="s">
        <v>4811</v>
      </c>
      <c r="AD397" s="3066" t="s">
        <v>4811</v>
      </c>
      <c r="AE397" s="3066" t="s">
        <v>3560</v>
      </c>
      <c r="AF397" s="3067">
        <v>1850</v>
      </c>
      <c r="AG397" s="3066">
        <v>1850</v>
      </c>
      <c r="AH397" s="3066">
        <v>97.23</v>
      </c>
      <c r="AI397" s="3066">
        <v>97.23</v>
      </c>
      <c r="AJ397" s="3066">
        <v>259.85000000000002</v>
      </c>
      <c r="AK397" s="3066">
        <v>259.85000000000002</v>
      </c>
      <c r="AL397" s="3066">
        <v>2207.08</v>
      </c>
      <c r="AM397" s="3066">
        <v>2207.08</v>
      </c>
      <c r="AN397" s="3066" t="s">
        <v>3560</v>
      </c>
      <c r="AP397" s="3068">
        <f t="shared" si="6"/>
        <v>39.956803455723545</v>
      </c>
    </row>
    <row r="398" spans="2:42" ht="27" customHeight="1">
      <c r="B398" s="3066">
        <v>406</v>
      </c>
      <c r="C398" s="3066" t="s">
        <v>3159</v>
      </c>
      <c r="D398" s="3066" t="s">
        <v>3972</v>
      </c>
      <c r="E398" s="3066" t="s">
        <v>4951</v>
      </c>
      <c r="F398" s="3066" t="s">
        <v>3917</v>
      </c>
      <c r="G398" s="3066" t="s">
        <v>3560</v>
      </c>
      <c r="H398" s="3066" t="s">
        <v>3560</v>
      </c>
      <c r="I398" s="3066" t="s">
        <v>4952</v>
      </c>
      <c r="J398" s="3066" t="s">
        <v>4952</v>
      </c>
      <c r="K398" s="3066" t="s">
        <v>3560</v>
      </c>
      <c r="L398" s="3066" t="s">
        <v>4953</v>
      </c>
      <c r="M398" s="3066" t="s">
        <v>4954</v>
      </c>
      <c r="N398" s="3066">
        <v>40.299999999999997</v>
      </c>
      <c r="O398" s="3066" t="s">
        <v>4955</v>
      </c>
      <c r="P398" s="3066" t="s">
        <v>3566</v>
      </c>
      <c r="Q398" s="3066">
        <v>0</v>
      </c>
      <c r="R398" s="3066">
        <v>3400</v>
      </c>
      <c r="S398" s="3066" t="s">
        <v>3567</v>
      </c>
      <c r="T398" s="3066">
        <v>42.18</v>
      </c>
      <c r="U398" s="3066">
        <v>1700</v>
      </c>
      <c r="V398" s="3066" t="s">
        <v>3560</v>
      </c>
      <c r="W398" s="3066" t="s">
        <v>3568</v>
      </c>
      <c r="X398" s="3066">
        <v>2.1</v>
      </c>
      <c r="Y398" s="3066">
        <v>1015.56</v>
      </c>
      <c r="Z398" s="3066" t="s">
        <v>3568</v>
      </c>
      <c r="AA398" s="3066" t="s">
        <v>3560</v>
      </c>
      <c r="AB398" s="3066" t="s">
        <v>4956</v>
      </c>
      <c r="AC398" s="3066" t="s">
        <v>4956</v>
      </c>
      <c r="AD398" s="3066" t="s">
        <v>4956</v>
      </c>
      <c r="AE398" s="3066" t="s">
        <v>3560</v>
      </c>
      <c r="AF398" s="3067">
        <v>1700</v>
      </c>
      <c r="AG398" s="3066">
        <v>0</v>
      </c>
      <c r="AH398" s="3066">
        <v>84.63</v>
      </c>
      <c r="AI398" s="3066">
        <v>0</v>
      </c>
      <c r="AJ398" s="3066">
        <v>57.33</v>
      </c>
      <c r="AK398" s="3066">
        <v>0</v>
      </c>
      <c r="AL398" s="3066">
        <v>1841.96</v>
      </c>
      <c r="AM398" s="3066">
        <v>0</v>
      </c>
      <c r="AN398" s="3066" t="s">
        <v>3560</v>
      </c>
      <c r="AP398" s="3068">
        <f t="shared" si="6"/>
        <v>42.183622828784124</v>
      </c>
    </row>
    <row r="399" spans="2:42" ht="27" customHeight="1">
      <c r="B399" s="3066">
        <v>407</v>
      </c>
      <c r="C399" s="3066" t="s">
        <v>3159</v>
      </c>
      <c r="D399" s="3066" t="s">
        <v>3972</v>
      </c>
      <c r="E399" s="3066" t="s">
        <v>4951</v>
      </c>
      <c r="F399" s="3066" t="s">
        <v>3917</v>
      </c>
      <c r="G399" s="3066" t="s">
        <v>3560</v>
      </c>
      <c r="H399" s="3066" t="s">
        <v>3560</v>
      </c>
      <c r="I399" s="3066" t="s">
        <v>4952</v>
      </c>
      <c r="J399" s="3066" t="s">
        <v>4952</v>
      </c>
      <c r="K399" s="3066" t="s">
        <v>3560</v>
      </c>
      <c r="L399" s="3066" t="s">
        <v>4953</v>
      </c>
      <c r="M399" s="3066" t="s">
        <v>4954</v>
      </c>
      <c r="N399" s="3066">
        <v>40.299999999999997</v>
      </c>
      <c r="O399" s="3066" t="s">
        <v>4220</v>
      </c>
      <c r="P399" s="3066" t="s">
        <v>4096</v>
      </c>
      <c r="Q399" s="3066">
        <v>0</v>
      </c>
      <c r="R399" s="3066">
        <v>3400</v>
      </c>
      <c r="S399" s="3066" t="s">
        <v>3567</v>
      </c>
      <c r="T399" s="3066">
        <v>42.18</v>
      </c>
      <c r="U399" s="3066">
        <v>1700</v>
      </c>
      <c r="V399" s="3066" t="s">
        <v>3560</v>
      </c>
      <c r="W399" s="3066" t="s">
        <v>3568</v>
      </c>
      <c r="X399" s="3066">
        <v>2.1</v>
      </c>
      <c r="Y399" s="3066">
        <v>1015.56</v>
      </c>
      <c r="Z399" s="3066" t="s">
        <v>3568</v>
      </c>
      <c r="AA399" s="3066" t="s">
        <v>3560</v>
      </c>
      <c r="AB399" s="3066" t="s">
        <v>3943</v>
      </c>
      <c r="AC399" s="3066" t="s">
        <v>3943</v>
      </c>
      <c r="AD399" s="3066" t="s">
        <v>3943</v>
      </c>
      <c r="AE399" s="3066" t="s">
        <v>3560</v>
      </c>
      <c r="AF399" s="3067">
        <v>1700</v>
      </c>
      <c r="AG399" s="3066">
        <v>0</v>
      </c>
      <c r="AH399" s="3066">
        <v>84.63</v>
      </c>
      <c r="AI399" s="3066">
        <v>0</v>
      </c>
      <c r="AJ399" s="3066">
        <v>57.33</v>
      </c>
      <c r="AK399" s="3066">
        <v>0</v>
      </c>
      <c r="AL399" s="3066">
        <v>1841.96</v>
      </c>
      <c r="AM399" s="3066">
        <v>0</v>
      </c>
      <c r="AN399" s="3066" t="s">
        <v>3560</v>
      </c>
      <c r="AP399" s="3068">
        <f t="shared" si="6"/>
        <v>42.183622828784124</v>
      </c>
    </row>
    <row r="400" spans="2:42" ht="27" customHeight="1">
      <c r="B400" s="3066">
        <v>408</v>
      </c>
      <c r="C400" s="3066" t="s">
        <v>3159</v>
      </c>
      <c r="D400" s="3066" t="s">
        <v>3972</v>
      </c>
      <c r="E400" s="3066" t="s">
        <v>4957</v>
      </c>
      <c r="F400" s="3066" t="s">
        <v>3917</v>
      </c>
      <c r="G400" s="3066" t="s">
        <v>3560</v>
      </c>
      <c r="H400" s="3066" t="s">
        <v>3560</v>
      </c>
      <c r="I400" s="3066" t="s">
        <v>3560</v>
      </c>
      <c r="J400" s="3066" t="s">
        <v>3560</v>
      </c>
      <c r="K400" s="3066" t="s">
        <v>3560</v>
      </c>
      <c r="L400" s="3066" t="s">
        <v>3560</v>
      </c>
      <c r="M400" s="3066" t="s">
        <v>4958</v>
      </c>
      <c r="N400" s="3066">
        <v>40.299999999999997</v>
      </c>
      <c r="O400" s="3066" t="s">
        <v>3560</v>
      </c>
      <c r="P400" s="3066" t="s">
        <v>3560</v>
      </c>
      <c r="Q400" s="3066">
        <v>0</v>
      </c>
      <c r="R400" s="3066">
        <v>0</v>
      </c>
      <c r="S400" s="3066" t="s">
        <v>3577</v>
      </c>
      <c r="T400" s="3066">
        <v>0</v>
      </c>
      <c r="U400" s="3066">
        <v>0</v>
      </c>
      <c r="V400" s="3066" t="s">
        <v>3560</v>
      </c>
      <c r="W400" s="3066" t="s">
        <v>3568</v>
      </c>
      <c r="X400" s="3066">
        <v>0</v>
      </c>
      <c r="Y400" s="3066">
        <v>0</v>
      </c>
      <c r="Z400" s="3066" t="s">
        <v>3568</v>
      </c>
      <c r="AA400" s="3066" t="s">
        <v>3560</v>
      </c>
      <c r="AB400" s="3066" t="s">
        <v>3560</v>
      </c>
      <c r="AC400" s="3066" t="s">
        <v>3560</v>
      </c>
      <c r="AD400" s="3066" t="s">
        <v>3560</v>
      </c>
      <c r="AE400" s="3066" t="s">
        <v>3560</v>
      </c>
      <c r="AF400" s="3067">
        <v>0</v>
      </c>
      <c r="AG400" s="3066">
        <v>0</v>
      </c>
      <c r="AH400" s="3066">
        <v>0</v>
      </c>
      <c r="AI400" s="3066">
        <v>0</v>
      </c>
      <c r="AJ400" s="3066">
        <v>0</v>
      </c>
      <c r="AK400" s="3066">
        <v>0</v>
      </c>
      <c r="AL400" s="3066">
        <v>0</v>
      </c>
      <c r="AM400" s="3066">
        <v>0</v>
      </c>
      <c r="AN400" s="3066" t="s">
        <v>3560</v>
      </c>
      <c r="AP400" s="3068">
        <f t="shared" si="6"/>
        <v>0</v>
      </c>
    </row>
    <row r="401" spans="2:42" ht="27" customHeight="1">
      <c r="B401" s="3066">
        <v>409</v>
      </c>
      <c r="C401" s="3066" t="s">
        <v>3159</v>
      </c>
      <c r="D401" s="3066" t="s">
        <v>3972</v>
      </c>
      <c r="E401" s="3066" t="s">
        <v>4959</v>
      </c>
      <c r="F401" s="3066" t="s">
        <v>3917</v>
      </c>
      <c r="G401" s="3066" t="s">
        <v>3560</v>
      </c>
      <c r="H401" s="3066" t="s">
        <v>3560</v>
      </c>
      <c r="I401" s="3066" t="s">
        <v>3560</v>
      </c>
      <c r="J401" s="3066" t="s">
        <v>3560</v>
      </c>
      <c r="K401" s="3066" t="s">
        <v>3560</v>
      </c>
      <c r="L401" s="3066" t="s">
        <v>3560</v>
      </c>
      <c r="M401" s="3066" t="s">
        <v>4960</v>
      </c>
      <c r="N401" s="3066">
        <v>40.299999999999997</v>
      </c>
      <c r="O401" s="3066" t="s">
        <v>3560</v>
      </c>
      <c r="P401" s="3066" t="s">
        <v>3560</v>
      </c>
      <c r="Q401" s="3066">
        <v>0</v>
      </c>
      <c r="R401" s="3066">
        <v>0</v>
      </c>
      <c r="S401" s="3066" t="s">
        <v>3577</v>
      </c>
      <c r="T401" s="3066">
        <v>0</v>
      </c>
      <c r="U401" s="3066">
        <v>0</v>
      </c>
      <c r="V401" s="3066" t="s">
        <v>3560</v>
      </c>
      <c r="W401" s="3066" t="s">
        <v>3568</v>
      </c>
      <c r="X401" s="3066">
        <v>0</v>
      </c>
      <c r="Y401" s="3066">
        <v>0</v>
      </c>
      <c r="Z401" s="3066" t="s">
        <v>3568</v>
      </c>
      <c r="AA401" s="3066" t="s">
        <v>3560</v>
      </c>
      <c r="AB401" s="3066" t="s">
        <v>3560</v>
      </c>
      <c r="AC401" s="3066" t="s">
        <v>3560</v>
      </c>
      <c r="AD401" s="3066" t="s">
        <v>3560</v>
      </c>
      <c r="AE401" s="3066" t="s">
        <v>3560</v>
      </c>
      <c r="AF401" s="3067">
        <v>0</v>
      </c>
      <c r="AG401" s="3066">
        <v>0</v>
      </c>
      <c r="AH401" s="3066">
        <v>0</v>
      </c>
      <c r="AI401" s="3066">
        <v>0</v>
      </c>
      <c r="AJ401" s="3066">
        <v>0</v>
      </c>
      <c r="AK401" s="3066">
        <v>0</v>
      </c>
      <c r="AL401" s="3066">
        <v>0</v>
      </c>
      <c r="AM401" s="3066">
        <v>0</v>
      </c>
      <c r="AN401" s="3066" t="s">
        <v>3560</v>
      </c>
      <c r="AP401" s="3068">
        <f t="shared" si="6"/>
        <v>0</v>
      </c>
    </row>
    <row r="402" spans="2:42" ht="27" customHeight="1">
      <c r="B402" s="3066">
        <v>410</v>
      </c>
      <c r="C402" s="3066" t="s">
        <v>3159</v>
      </c>
      <c r="D402" s="3066" t="s">
        <v>3972</v>
      </c>
      <c r="E402" s="3066" t="s">
        <v>4961</v>
      </c>
      <c r="F402" s="3066" t="s">
        <v>3917</v>
      </c>
      <c r="G402" s="3066" t="s">
        <v>3560</v>
      </c>
      <c r="H402" s="3066" t="s">
        <v>3560</v>
      </c>
      <c r="I402" s="3066" t="s">
        <v>4962</v>
      </c>
      <c r="J402" s="3066" t="s">
        <v>4962</v>
      </c>
      <c r="K402" s="3066" t="s">
        <v>3560</v>
      </c>
      <c r="L402" s="3066" t="s">
        <v>4963</v>
      </c>
      <c r="M402" s="3066" t="s">
        <v>4964</v>
      </c>
      <c r="N402" s="3066">
        <v>40.299999999999997</v>
      </c>
      <c r="O402" s="3066" t="s">
        <v>4560</v>
      </c>
      <c r="P402" s="3066" t="s">
        <v>3566</v>
      </c>
      <c r="Q402" s="3066">
        <v>0</v>
      </c>
      <c r="R402" s="3066">
        <v>3400</v>
      </c>
      <c r="S402" s="3066" t="s">
        <v>3567</v>
      </c>
      <c r="T402" s="3066">
        <v>42.18</v>
      </c>
      <c r="U402" s="3066">
        <v>1700</v>
      </c>
      <c r="V402" s="3066" t="s">
        <v>3560</v>
      </c>
      <c r="W402" s="3066" t="s">
        <v>3568</v>
      </c>
      <c r="X402" s="3066">
        <v>2.1</v>
      </c>
      <c r="Y402" s="3066">
        <v>1015.56</v>
      </c>
      <c r="Z402" s="3066" t="s">
        <v>3568</v>
      </c>
      <c r="AA402" s="3066" t="s">
        <v>3560</v>
      </c>
      <c r="AB402" s="3066" t="s">
        <v>3591</v>
      </c>
      <c r="AC402" s="3066" t="s">
        <v>3591</v>
      </c>
      <c r="AD402" s="3066" t="s">
        <v>3591</v>
      </c>
      <c r="AE402" s="3066" t="s">
        <v>3560</v>
      </c>
      <c r="AF402" s="3067">
        <v>1700</v>
      </c>
      <c r="AG402" s="3066">
        <v>1700</v>
      </c>
      <c r="AH402" s="3066">
        <v>84.63</v>
      </c>
      <c r="AI402" s="3066">
        <v>84.63</v>
      </c>
      <c r="AJ402" s="3066">
        <v>71.73</v>
      </c>
      <c r="AK402" s="3066">
        <v>71.73</v>
      </c>
      <c r="AL402" s="3066">
        <v>1856.36</v>
      </c>
      <c r="AM402" s="3066">
        <v>1856.36</v>
      </c>
      <c r="AN402" s="3066" t="s">
        <v>3560</v>
      </c>
      <c r="AP402" s="3068">
        <f t="shared" si="6"/>
        <v>42.183622828784124</v>
      </c>
    </row>
    <row r="403" spans="2:42" ht="27" customHeight="1">
      <c r="B403" s="3066">
        <v>411</v>
      </c>
      <c r="C403" s="3066" t="s">
        <v>3159</v>
      </c>
      <c r="D403" s="3066" t="s">
        <v>3972</v>
      </c>
      <c r="E403" s="3066" t="s">
        <v>4965</v>
      </c>
      <c r="F403" s="3066" t="s">
        <v>3917</v>
      </c>
      <c r="G403" s="3066" t="s">
        <v>3560</v>
      </c>
      <c r="H403" s="3066" t="s">
        <v>3560</v>
      </c>
      <c r="I403" s="3066" t="s">
        <v>4966</v>
      </c>
      <c r="J403" s="3066" t="s">
        <v>4966</v>
      </c>
      <c r="K403" s="3066" t="s">
        <v>3560</v>
      </c>
      <c r="L403" s="3066" t="s">
        <v>4967</v>
      </c>
      <c r="M403" s="3066" t="s">
        <v>4968</v>
      </c>
      <c r="N403" s="3066">
        <v>40.299999999999997</v>
      </c>
      <c r="O403" s="3066" t="s">
        <v>4969</v>
      </c>
      <c r="P403" s="3066" t="s">
        <v>3566</v>
      </c>
      <c r="Q403" s="3066">
        <v>0</v>
      </c>
      <c r="R403" s="3066">
        <v>3400</v>
      </c>
      <c r="S403" s="3066" t="s">
        <v>3567</v>
      </c>
      <c r="T403" s="3066">
        <v>42.18</v>
      </c>
      <c r="U403" s="3066">
        <v>1700</v>
      </c>
      <c r="V403" s="3066" t="s">
        <v>3560</v>
      </c>
      <c r="W403" s="3066" t="s">
        <v>3568</v>
      </c>
      <c r="X403" s="3066">
        <v>2.1</v>
      </c>
      <c r="Y403" s="3066">
        <v>1015.56</v>
      </c>
      <c r="Z403" s="3066" t="s">
        <v>3568</v>
      </c>
      <c r="AA403" s="3066" t="s">
        <v>3560</v>
      </c>
      <c r="AB403" s="3066" t="s">
        <v>3584</v>
      </c>
      <c r="AC403" s="3066" t="s">
        <v>3584</v>
      </c>
      <c r="AD403" s="3066" t="s">
        <v>3584</v>
      </c>
      <c r="AE403" s="3066" t="s">
        <v>3560</v>
      </c>
      <c r="AF403" s="3067">
        <v>1700</v>
      </c>
      <c r="AG403" s="3066">
        <v>1700</v>
      </c>
      <c r="AH403" s="3066">
        <v>84.63</v>
      </c>
      <c r="AI403" s="3066">
        <v>84.63</v>
      </c>
      <c r="AJ403" s="3066">
        <v>26.27</v>
      </c>
      <c r="AK403" s="3066">
        <v>26.27</v>
      </c>
      <c r="AL403" s="3066">
        <v>1810.9</v>
      </c>
      <c r="AM403" s="3066">
        <v>1810.9</v>
      </c>
      <c r="AN403" s="3066" t="s">
        <v>3560</v>
      </c>
      <c r="AP403" s="3068">
        <f t="shared" si="6"/>
        <v>42.183622828784124</v>
      </c>
    </row>
    <row r="404" spans="2:42" ht="27" customHeight="1">
      <c r="B404" s="3066">
        <v>412</v>
      </c>
      <c r="C404" s="3066" t="s">
        <v>3159</v>
      </c>
      <c r="D404" s="3066" t="s">
        <v>3972</v>
      </c>
      <c r="E404" s="3066" t="s">
        <v>4970</v>
      </c>
      <c r="F404" s="3066" t="s">
        <v>3917</v>
      </c>
      <c r="G404" s="3066" t="s">
        <v>3560</v>
      </c>
      <c r="H404" s="3066" t="s">
        <v>3560</v>
      </c>
      <c r="I404" s="3066" t="s">
        <v>3560</v>
      </c>
      <c r="J404" s="3066" t="s">
        <v>3560</v>
      </c>
      <c r="K404" s="3066" t="s">
        <v>3560</v>
      </c>
      <c r="L404" s="3066" t="s">
        <v>3560</v>
      </c>
      <c r="M404" s="3066" t="s">
        <v>4971</v>
      </c>
      <c r="N404" s="3066">
        <v>40.299999999999997</v>
      </c>
      <c r="O404" s="3066" t="s">
        <v>3560</v>
      </c>
      <c r="P404" s="3066" t="s">
        <v>3560</v>
      </c>
      <c r="Q404" s="3066">
        <v>0</v>
      </c>
      <c r="R404" s="3066">
        <v>0</v>
      </c>
      <c r="S404" s="3066" t="s">
        <v>3577</v>
      </c>
      <c r="T404" s="3066">
        <v>0</v>
      </c>
      <c r="U404" s="3066">
        <v>0</v>
      </c>
      <c r="V404" s="3066" t="s">
        <v>3560</v>
      </c>
      <c r="W404" s="3066" t="s">
        <v>3568</v>
      </c>
      <c r="X404" s="3066">
        <v>0</v>
      </c>
      <c r="Y404" s="3066">
        <v>0</v>
      </c>
      <c r="Z404" s="3066" t="s">
        <v>3568</v>
      </c>
      <c r="AA404" s="3066" t="s">
        <v>3560</v>
      </c>
      <c r="AB404" s="3066" t="s">
        <v>3560</v>
      </c>
      <c r="AC404" s="3066" t="s">
        <v>3560</v>
      </c>
      <c r="AD404" s="3066" t="s">
        <v>3560</v>
      </c>
      <c r="AE404" s="3066" t="s">
        <v>3560</v>
      </c>
      <c r="AF404" s="3067">
        <v>0</v>
      </c>
      <c r="AG404" s="3066">
        <v>0</v>
      </c>
      <c r="AH404" s="3066">
        <v>0</v>
      </c>
      <c r="AI404" s="3066">
        <v>0</v>
      </c>
      <c r="AJ404" s="3066">
        <v>0</v>
      </c>
      <c r="AK404" s="3066">
        <v>0</v>
      </c>
      <c r="AL404" s="3066">
        <v>0</v>
      </c>
      <c r="AM404" s="3066">
        <v>0</v>
      </c>
      <c r="AN404" s="3066" t="s">
        <v>3560</v>
      </c>
      <c r="AP404" s="3068">
        <f t="shared" si="6"/>
        <v>0</v>
      </c>
    </row>
    <row r="405" spans="2:42" ht="27" customHeight="1">
      <c r="B405" s="3066">
        <v>413</v>
      </c>
      <c r="C405" s="3066" t="s">
        <v>3159</v>
      </c>
      <c r="D405" s="3066" t="s">
        <v>3972</v>
      </c>
      <c r="E405" s="3066" t="s">
        <v>4972</v>
      </c>
      <c r="F405" s="3066" t="s">
        <v>3917</v>
      </c>
      <c r="G405" s="3066" t="s">
        <v>3560</v>
      </c>
      <c r="H405" s="3066" t="s">
        <v>3560</v>
      </c>
      <c r="I405" s="3066" t="s">
        <v>4973</v>
      </c>
      <c r="J405" s="3066" t="s">
        <v>3560</v>
      </c>
      <c r="K405" s="3066" t="s">
        <v>3560</v>
      </c>
      <c r="L405" s="3066" t="s">
        <v>4974</v>
      </c>
      <c r="M405" s="3066" t="s">
        <v>4975</v>
      </c>
      <c r="N405" s="3066">
        <v>40.299999999999997</v>
      </c>
      <c r="O405" s="3066" t="s">
        <v>3919</v>
      </c>
      <c r="P405" s="3066" t="s">
        <v>3566</v>
      </c>
      <c r="Q405" s="3066">
        <v>1</v>
      </c>
      <c r="R405" s="3066">
        <v>0</v>
      </c>
      <c r="S405" s="3066" t="s">
        <v>3577</v>
      </c>
      <c r="T405" s="3066">
        <v>29.53</v>
      </c>
      <c r="U405" s="3066">
        <v>1190</v>
      </c>
      <c r="V405" s="3066" t="s">
        <v>3560</v>
      </c>
      <c r="W405" s="3066" t="s">
        <v>3568</v>
      </c>
      <c r="X405" s="3066">
        <v>2.1</v>
      </c>
      <c r="Y405" s="3066">
        <v>1015.56</v>
      </c>
      <c r="Z405" s="3066" t="s">
        <v>3568</v>
      </c>
      <c r="AA405" s="3066" t="s">
        <v>3560</v>
      </c>
      <c r="AB405" s="3066" t="s">
        <v>3920</v>
      </c>
      <c r="AC405" s="3066" t="s">
        <v>3920</v>
      </c>
      <c r="AD405" s="3066" t="s">
        <v>3920</v>
      </c>
      <c r="AE405" s="3066" t="s">
        <v>3560</v>
      </c>
      <c r="AF405" s="3067">
        <v>1190</v>
      </c>
      <c r="AG405" s="3066">
        <v>1190</v>
      </c>
      <c r="AH405" s="3066">
        <v>84.63</v>
      </c>
      <c r="AI405" s="3066">
        <v>84.63</v>
      </c>
      <c r="AJ405" s="3066">
        <v>174.39</v>
      </c>
      <c r="AK405" s="3066">
        <v>174.39</v>
      </c>
      <c r="AL405" s="3066">
        <v>1449.02</v>
      </c>
      <c r="AM405" s="3066">
        <v>1449.02</v>
      </c>
      <c r="AN405" s="3066" t="s">
        <v>3560</v>
      </c>
      <c r="AP405" s="3068">
        <f t="shared" si="6"/>
        <v>29.528535980148884</v>
      </c>
    </row>
    <row r="406" spans="2:42" ht="27" customHeight="1">
      <c r="B406" s="3066">
        <v>414</v>
      </c>
      <c r="C406" s="3066" t="s">
        <v>3159</v>
      </c>
      <c r="D406" s="3066" t="s">
        <v>3972</v>
      </c>
      <c r="E406" s="3066" t="s">
        <v>4976</v>
      </c>
      <c r="F406" s="3066" t="s">
        <v>3917</v>
      </c>
      <c r="G406" s="3066" t="s">
        <v>3560</v>
      </c>
      <c r="H406" s="3066" t="s">
        <v>3560</v>
      </c>
      <c r="I406" s="3066" t="s">
        <v>4977</v>
      </c>
      <c r="J406" s="3066" t="s">
        <v>4977</v>
      </c>
      <c r="K406" s="3066" t="s">
        <v>3560</v>
      </c>
      <c r="L406" s="3066" t="s">
        <v>4978</v>
      </c>
      <c r="M406" s="3066" t="s">
        <v>4979</v>
      </c>
      <c r="N406" s="3066">
        <v>40.299999999999997</v>
      </c>
      <c r="O406" s="3066" t="s">
        <v>4980</v>
      </c>
      <c r="P406" s="3066" t="s">
        <v>3566</v>
      </c>
      <c r="Q406" s="3066">
        <v>1</v>
      </c>
      <c r="R406" s="3066">
        <v>3400</v>
      </c>
      <c r="S406" s="3066" t="s">
        <v>3567</v>
      </c>
      <c r="T406" s="3066">
        <v>42.18</v>
      </c>
      <c r="U406" s="3066">
        <v>1700</v>
      </c>
      <c r="V406" s="3066" t="s">
        <v>3560</v>
      </c>
      <c r="W406" s="3066" t="s">
        <v>3568</v>
      </c>
      <c r="X406" s="3066">
        <v>2.1</v>
      </c>
      <c r="Y406" s="3066">
        <v>1015.56</v>
      </c>
      <c r="Z406" s="3066" t="s">
        <v>3568</v>
      </c>
      <c r="AA406" s="3066" t="s">
        <v>3560</v>
      </c>
      <c r="AB406" s="3066" t="s">
        <v>4981</v>
      </c>
      <c r="AC406" s="3066" t="s">
        <v>4981</v>
      </c>
      <c r="AD406" s="3066" t="s">
        <v>4981</v>
      </c>
      <c r="AE406" s="3066" t="s">
        <v>3560</v>
      </c>
      <c r="AF406" s="3067">
        <v>1700</v>
      </c>
      <c r="AG406" s="3066">
        <v>1700</v>
      </c>
      <c r="AH406" s="3066">
        <v>84.63</v>
      </c>
      <c r="AI406" s="3066">
        <v>84.63</v>
      </c>
      <c r="AJ406" s="3066">
        <v>69.06</v>
      </c>
      <c r="AK406" s="3066">
        <v>69.06</v>
      </c>
      <c r="AL406" s="3066">
        <v>1853.69</v>
      </c>
      <c r="AM406" s="3066">
        <v>1853.69</v>
      </c>
      <c r="AN406" s="3066" t="s">
        <v>3560</v>
      </c>
      <c r="AP406" s="3068">
        <f t="shared" si="6"/>
        <v>42.183622828784124</v>
      </c>
    </row>
    <row r="407" spans="2:42" ht="27" customHeight="1">
      <c r="B407" s="3066">
        <v>415</v>
      </c>
      <c r="C407" s="3066" t="s">
        <v>3159</v>
      </c>
      <c r="D407" s="3066" t="s">
        <v>3972</v>
      </c>
      <c r="E407" s="3066" t="s">
        <v>4982</v>
      </c>
      <c r="F407" s="3066" t="s">
        <v>3917</v>
      </c>
      <c r="G407" s="3066" t="s">
        <v>1373</v>
      </c>
      <c r="H407" s="3066" t="s">
        <v>3560</v>
      </c>
      <c r="I407" s="3066" t="s">
        <v>3759</v>
      </c>
      <c r="J407" s="3066" t="s">
        <v>3760</v>
      </c>
      <c r="K407" s="3066" t="s">
        <v>3560</v>
      </c>
      <c r="L407" s="3066" t="s">
        <v>3761</v>
      </c>
      <c r="M407" s="3066" t="s">
        <v>4983</v>
      </c>
      <c r="N407" s="3066">
        <v>40.299999999999997</v>
      </c>
      <c r="O407" s="3066" t="s">
        <v>4984</v>
      </c>
      <c r="P407" s="3066" t="s">
        <v>3566</v>
      </c>
      <c r="Q407" s="3066">
        <v>0</v>
      </c>
      <c r="R407" s="3066">
        <v>3400</v>
      </c>
      <c r="S407" s="3066" t="s">
        <v>3567</v>
      </c>
      <c r="T407" s="3066">
        <v>42.18</v>
      </c>
      <c r="U407" s="3066">
        <v>1700</v>
      </c>
      <c r="V407" s="3066" t="s">
        <v>3560</v>
      </c>
      <c r="W407" s="3066" t="s">
        <v>3568</v>
      </c>
      <c r="X407" s="3066">
        <v>2.1</v>
      </c>
      <c r="Y407" s="3066">
        <v>1015.56</v>
      </c>
      <c r="Z407" s="3066" t="s">
        <v>3568</v>
      </c>
      <c r="AA407" s="3066" t="s">
        <v>3560</v>
      </c>
      <c r="AB407" s="3066" t="s">
        <v>4489</v>
      </c>
      <c r="AC407" s="3066" t="s">
        <v>4489</v>
      </c>
      <c r="AD407" s="3066" t="s">
        <v>4489</v>
      </c>
      <c r="AE407" s="3066" t="s">
        <v>3560</v>
      </c>
      <c r="AF407" s="3067">
        <v>1700</v>
      </c>
      <c r="AG407" s="3066">
        <v>0</v>
      </c>
      <c r="AH407" s="3066">
        <v>84.63</v>
      </c>
      <c r="AI407" s="3066">
        <v>0</v>
      </c>
      <c r="AJ407" s="3066">
        <v>166.26</v>
      </c>
      <c r="AK407" s="3066">
        <v>0</v>
      </c>
      <c r="AL407" s="3066">
        <v>1950.89</v>
      </c>
      <c r="AM407" s="3066">
        <v>0</v>
      </c>
      <c r="AN407" s="3066" t="s">
        <v>3560</v>
      </c>
      <c r="AP407" s="3068">
        <f t="shared" si="6"/>
        <v>42.183622828784124</v>
      </c>
    </row>
    <row r="408" spans="2:42" ht="27" customHeight="1">
      <c r="B408" s="3066">
        <v>416</v>
      </c>
      <c r="C408" s="3066" t="s">
        <v>3159</v>
      </c>
      <c r="D408" s="3066" t="s">
        <v>3972</v>
      </c>
      <c r="E408" s="3066" t="s">
        <v>4985</v>
      </c>
      <c r="F408" s="3066" t="s">
        <v>3917</v>
      </c>
      <c r="G408" s="3066" t="s">
        <v>3560</v>
      </c>
      <c r="H408" s="3066" t="s">
        <v>3560</v>
      </c>
      <c r="I408" s="3066" t="s">
        <v>4986</v>
      </c>
      <c r="J408" s="3066" t="s">
        <v>3560</v>
      </c>
      <c r="K408" s="3066" t="s">
        <v>3560</v>
      </c>
      <c r="L408" s="3066" t="s">
        <v>4987</v>
      </c>
      <c r="M408" s="3066" t="s">
        <v>4988</v>
      </c>
      <c r="N408" s="3066">
        <v>40.299999999999997</v>
      </c>
      <c r="O408" s="3066" t="s">
        <v>4428</v>
      </c>
      <c r="P408" s="3066" t="s">
        <v>3566</v>
      </c>
      <c r="Q408" s="3066">
        <v>1</v>
      </c>
      <c r="R408" s="3066">
        <v>3400</v>
      </c>
      <c r="S408" s="3066" t="s">
        <v>3567</v>
      </c>
      <c r="T408" s="3066">
        <v>42.18</v>
      </c>
      <c r="U408" s="3066">
        <v>1700</v>
      </c>
      <c r="V408" s="3066" t="s">
        <v>3560</v>
      </c>
      <c r="W408" s="3066" t="s">
        <v>3568</v>
      </c>
      <c r="X408" s="3066">
        <v>2.1</v>
      </c>
      <c r="Y408" s="3066">
        <v>1015.56</v>
      </c>
      <c r="Z408" s="3066" t="s">
        <v>3568</v>
      </c>
      <c r="AA408" s="3066" t="s">
        <v>3560</v>
      </c>
      <c r="AB408" s="3066" t="s">
        <v>4429</v>
      </c>
      <c r="AC408" s="3066" t="s">
        <v>4429</v>
      </c>
      <c r="AD408" s="3066" t="s">
        <v>4429</v>
      </c>
      <c r="AE408" s="3066" t="s">
        <v>3560</v>
      </c>
      <c r="AF408" s="3067">
        <v>1700</v>
      </c>
      <c r="AG408" s="3066">
        <v>0</v>
      </c>
      <c r="AH408" s="3066">
        <v>84.63</v>
      </c>
      <c r="AI408" s="3066">
        <v>0</v>
      </c>
      <c r="AJ408" s="3066">
        <v>160.91999999999999</v>
      </c>
      <c r="AK408" s="3066">
        <v>0</v>
      </c>
      <c r="AL408" s="3066">
        <v>1945.55</v>
      </c>
      <c r="AM408" s="3066">
        <v>0</v>
      </c>
      <c r="AN408" s="3066" t="s">
        <v>3560</v>
      </c>
      <c r="AP408" s="3068">
        <f t="shared" si="6"/>
        <v>42.183622828784124</v>
      </c>
    </row>
    <row r="409" spans="2:42" ht="27" customHeight="1">
      <c r="B409" s="3066">
        <v>417</v>
      </c>
      <c r="C409" s="3066" t="s">
        <v>3159</v>
      </c>
      <c r="D409" s="3066" t="s">
        <v>3972</v>
      </c>
      <c r="E409" s="3066" t="s">
        <v>4989</v>
      </c>
      <c r="F409" s="3066" t="s">
        <v>3917</v>
      </c>
      <c r="G409" s="3066" t="s">
        <v>3560</v>
      </c>
      <c r="H409" s="3066" t="s">
        <v>3560</v>
      </c>
      <c r="I409" s="3066" t="s">
        <v>3560</v>
      </c>
      <c r="J409" s="3066" t="s">
        <v>3560</v>
      </c>
      <c r="K409" s="3066" t="s">
        <v>3560</v>
      </c>
      <c r="L409" s="3066" t="s">
        <v>3560</v>
      </c>
      <c r="M409" s="3066" t="s">
        <v>4990</v>
      </c>
      <c r="N409" s="3066">
        <v>40.299999999999997</v>
      </c>
      <c r="O409" s="3066" t="s">
        <v>3560</v>
      </c>
      <c r="P409" s="3066" t="s">
        <v>3560</v>
      </c>
      <c r="Q409" s="3066">
        <v>0</v>
      </c>
      <c r="R409" s="3066">
        <v>0</v>
      </c>
      <c r="S409" s="3066" t="s">
        <v>3577</v>
      </c>
      <c r="T409" s="3066">
        <v>0</v>
      </c>
      <c r="U409" s="3066">
        <v>0</v>
      </c>
      <c r="V409" s="3066" t="s">
        <v>3560</v>
      </c>
      <c r="W409" s="3066" t="s">
        <v>3568</v>
      </c>
      <c r="X409" s="3066">
        <v>0</v>
      </c>
      <c r="Y409" s="3066">
        <v>0</v>
      </c>
      <c r="Z409" s="3066" t="s">
        <v>3568</v>
      </c>
      <c r="AA409" s="3066" t="s">
        <v>3560</v>
      </c>
      <c r="AB409" s="3066" t="s">
        <v>3560</v>
      </c>
      <c r="AC409" s="3066" t="s">
        <v>3560</v>
      </c>
      <c r="AD409" s="3066" t="s">
        <v>3560</v>
      </c>
      <c r="AE409" s="3066" t="s">
        <v>3560</v>
      </c>
      <c r="AF409" s="3067">
        <v>0</v>
      </c>
      <c r="AG409" s="3066">
        <v>0</v>
      </c>
      <c r="AH409" s="3066">
        <v>0</v>
      </c>
      <c r="AI409" s="3066">
        <v>0</v>
      </c>
      <c r="AJ409" s="3066">
        <v>0</v>
      </c>
      <c r="AK409" s="3066">
        <v>0</v>
      </c>
      <c r="AL409" s="3066">
        <v>0</v>
      </c>
      <c r="AM409" s="3066">
        <v>0</v>
      </c>
      <c r="AN409" s="3066" t="s">
        <v>3560</v>
      </c>
      <c r="AP409" s="3068">
        <f t="shared" si="6"/>
        <v>0</v>
      </c>
    </row>
    <row r="410" spans="2:42" ht="27" customHeight="1">
      <c r="B410" s="3066">
        <v>418</v>
      </c>
      <c r="C410" s="3066" t="s">
        <v>3159</v>
      </c>
      <c r="D410" s="3066" t="s">
        <v>3972</v>
      </c>
      <c r="E410" s="3066" t="s">
        <v>4991</v>
      </c>
      <c r="F410" s="3066" t="s">
        <v>3917</v>
      </c>
      <c r="G410" s="3066" t="s">
        <v>3560</v>
      </c>
      <c r="H410" s="3066" t="s">
        <v>3560</v>
      </c>
      <c r="I410" s="3066" t="s">
        <v>4992</v>
      </c>
      <c r="J410" s="3066" t="s">
        <v>4992</v>
      </c>
      <c r="K410" s="3066" t="s">
        <v>3560</v>
      </c>
      <c r="L410" s="3066" t="s">
        <v>4993</v>
      </c>
      <c r="M410" s="3066" t="s">
        <v>4994</v>
      </c>
      <c r="N410" s="3066">
        <v>46.3</v>
      </c>
      <c r="O410" s="3066" t="s">
        <v>4995</v>
      </c>
      <c r="P410" s="3066" t="s">
        <v>3566</v>
      </c>
      <c r="Q410" s="3066">
        <v>0</v>
      </c>
      <c r="R410" s="3066">
        <v>0</v>
      </c>
      <c r="S410" s="3066" t="s">
        <v>3577</v>
      </c>
      <c r="T410" s="3066">
        <v>27.67</v>
      </c>
      <c r="U410" s="3066">
        <v>1281</v>
      </c>
      <c r="V410" s="3066" t="s">
        <v>3560</v>
      </c>
      <c r="W410" s="3066" t="s">
        <v>3568</v>
      </c>
      <c r="X410" s="3066">
        <v>2.1</v>
      </c>
      <c r="Y410" s="3066">
        <v>1166.76</v>
      </c>
      <c r="Z410" s="3066" t="s">
        <v>3568</v>
      </c>
      <c r="AA410" s="3066" t="s">
        <v>3560</v>
      </c>
      <c r="AB410" s="3066" t="s">
        <v>3951</v>
      </c>
      <c r="AC410" s="3066" t="s">
        <v>3951</v>
      </c>
      <c r="AD410" s="3066" t="s">
        <v>3951</v>
      </c>
      <c r="AE410" s="3066" t="s">
        <v>3560</v>
      </c>
      <c r="AF410" s="3067">
        <v>1281</v>
      </c>
      <c r="AG410" s="3066">
        <v>1281</v>
      </c>
      <c r="AH410" s="3066">
        <v>97.23</v>
      </c>
      <c r="AI410" s="3066">
        <v>97.23</v>
      </c>
      <c r="AJ410" s="3066">
        <v>0</v>
      </c>
      <c r="AK410" s="3066">
        <v>0</v>
      </c>
      <c r="AL410" s="3066">
        <v>1378.23</v>
      </c>
      <c r="AM410" s="3066">
        <v>1378.23</v>
      </c>
      <c r="AN410" s="3066" t="s">
        <v>3560</v>
      </c>
      <c r="AP410" s="3068">
        <f t="shared" si="6"/>
        <v>27.667386609071276</v>
      </c>
    </row>
    <row r="411" spans="2:42" ht="27" customHeight="1">
      <c r="B411" s="3066">
        <v>419</v>
      </c>
      <c r="C411" s="3066" t="s">
        <v>3159</v>
      </c>
      <c r="D411" s="3066" t="s">
        <v>3972</v>
      </c>
      <c r="E411" s="3066" t="s">
        <v>4991</v>
      </c>
      <c r="F411" s="3066" t="s">
        <v>3917</v>
      </c>
      <c r="G411" s="3066" t="s">
        <v>3560</v>
      </c>
      <c r="H411" s="3066" t="s">
        <v>3560</v>
      </c>
      <c r="I411" s="3066" t="s">
        <v>4992</v>
      </c>
      <c r="J411" s="3066" t="s">
        <v>4992</v>
      </c>
      <c r="K411" s="3066" t="s">
        <v>3560</v>
      </c>
      <c r="L411" s="3066" t="s">
        <v>4993</v>
      </c>
      <c r="M411" s="3066" t="s">
        <v>4994</v>
      </c>
      <c r="N411" s="3066">
        <v>46.3</v>
      </c>
      <c r="O411" s="3066" t="s">
        <v>4996</v>
      </c>
      <c r="P411" s="3066" t="s">
        <v>4096</v>
      </c>
      <c r="Q411" s="3066">
        <v>0</v>
      </c>
      <c r="R411" s="3066">
        <v>0</v>
      </c>
      <c r="S411" s="3066" t="s">
        <v>3577</v>
      </c>
      <c r="T411" s="3066">
        <v>27.67</v>
      </c>
      <c r="U411" s="3066">
        <v>1281</v>
      </c>
      <c r="V411" s="3066" t="s">
        <v>3560</v>
      </c>
      <c r="W411" s="3066" t="s">
        <v>3568</v>
      </c>
      <c r="X411" s="3066">
        <v>2.1</v>
      </c>
      <c r="Y411" s="3066">
        <v>1166.76</v>
      </c>
      <c r="Z411" s="3066" t="s">
        <v>3568</v>
      </c>
      <c r="AA411" s="3066" t="s">
        <v>3560</v>
      </c>
      <c r="AB411" s="3066" t="s">
        <v>4868</v>
      </c>
      <c r="AC411" s="3066" t="s">
        <v>4868</v>
      </c>
      <c r="AD411" s="3066" t="s">
        <v>4868</v>
      </c>
      <c r="AE411" s="3066" t="s">
        <v>3560</v>
      </c>
      <c r="AF411" s="3067">
        <v>1281</v>
      </c>
      <c r="AG411" s="3066">
        <v>1281</v>
      </c>
      <c r="AH411" s="3066">
        <v>97.23</v>
      </c>
      <c r="AI411" s="3066">
        <v>97.23</v>
      </c>
      <c r="AJ411" s="3066">
        <v>0</v>
      </c>
      <c r="AK411" s="3066">
        <v>0</v>
      </c>
      <c r="AL411" s="3066">
        <v>1378.23</v>
      </c>
      <c r="AM411" s="3066">
        <v>1378.23</v>
      </c>
      <c r="AN411" s="3066" t="s">
        <v>3560</v>
      </c>
      <c r="AP411" s="3068">
        <f t="shared" si="6"/>
        <v>27.667386609071276</v>
      </c>
    </row>
    <row r="412" spans="2:42" ht="27" customHeight="1">
      <c r="B412" s="3066">
        <v>420</v>
      </c>
      <c r="C412" s="3066" t="s">
        <v>3159</v>
      </c>
      <c r="D412" s="3066" t="s">
        <v>4209</v>
      </c>
      <c r="E412" s="3066" t="s">
        <v>4997</v>
      </c>
      <c r="F412" s="3066" t="s">
        <v>3917</v>
      </c>
      <c r="G412" s="3066" t="s">
        <v>3560</v>
      </c>
      <c r="H412" s="3066" t="s">
        <v>3560</v>
      </c>
      <c r="I412" s="3066" t="s">
        <v>4998</v>
      </c>
      <c r="J412" s="3066" t="s">
        <v>3560</v>
      </c>
      <c r="K412" s="3066" t="s">
        <v>3560</v>
      </c>
      <c r="L412" s="3066" t="s">
        <v>4999</v>
      </c>
      <c r="M412" s="3066" t="s">
        <v>5000</v>
      </c>
      <c r="N412" s="3066">
        <v>40.299999999999997</v>
      </c>
      <c r="O412" s="3066" t="s">
        <v>4560</v>
      </c>
      <c r="P412" s="3066" t="s">
        <v>3745</v>
      </c>
      <c r="Q412" s="3066">
        <v>0</v>
      </c>
      <c r="R412" s="3066">
        <v>3300</v>
      </c>
      <c r="S412" s="3066" t="s">
        <v>3567</v>
      </c>
      <c r="T412" s="3066">
        <v>40.94</v>
      </c>
      <c r="U412" s="3066">
        <v>1650</v>
      </c>
      <c r="V412" s="3066" t="s">
        <v>3560</v>
      </c>
      <c r="W412" s="3066" t="s">
        <v>3568</v>
      </c>
      <c r="X412" s="3066">
        <v>2.1</v>
      </c>
      <c r="Y412" s="3066">
        <v>1015.56</v>
      </c>
      <c r="Z412" s="3066" t="s">
        <v>3568</v>
      </c>
      <c r="AA412" s="3066" t="s">
        <v>3560</v>
      </c>
      <c r="AB412" s="3066" t="s">
        <v>3591</v>
      </c>
      <c r="AC412" s="3066" t="s">
        <v>3591</v>
      </c>
      <c r="AD412" s="3066" t="s">
        <v>3591</v>
      </c>
      <c r="AE412" s="3066" t="s">
        <v>3560</v>
      </c>
      <c r="AF412" s="3067">
        <v>1650</v>
      </c>
      <c r="AG412" s="3066">
        <v>0</v>
      </c>
      <c r="AH412" s="3066">
        <v>84.63</v>
      </c>
      <c r="AI412" s="3066">
        <v>0</v>
      </c>
      <c r="AJ412" s="3066">
        <v>439.31</v>
      </c>
      <c r="AK412" s="3066">
        <v>0</v>
      </c>
      <c r="AL412" s="3066">
        <v>2173.94</v>
      </c>
      <c r="AM412" s="3066">
        <v>0</v>
      </c>
      <c r="AN412" s="3066" t="s">
        <v>3560</v>
      </c>
      <c r="AP412" s="3068">
        <f t="shared" si="6"/>
        <v>40.942928039702238</v>
      </c>
    </row>
    <row r="413" spans="2:42" ht="27" customHeight="1">
      <c r="B413" s="3066">
        <v>421</v>
      </c>
      <c r="C413" s="3066" t="s">
        <v>3159</v>
      </c>
      <c r="D413" s="3066" t="s">
        <v>4209</v>
      </c>
      <c r="E413" s="3066" t="s">
        <v>5001</v>
      </c>
      <c r="F413" s="3066" t="s">
        <v>3917</v>
      </c>
      <c r="G413" s="3066" t="s">
        <v>3560</v>
      </c>
      <c r="H413" s="3066" t="s">
        <v>3560</v>
      </c>
      <c r="I413" s="3066" t="s">
        <v>5002</v>
      </c>
      <c r="J413" s="3066" t="s">
        <v>5002</v>
      </c>
      <c r="K413" s="3066" t="s">
        <v>3560</v>
      </c>
      <c r="L413" s="3066" t="s">
        <v>5003</v>
      </c>
      <c r="M413" s="3066" t="s">
        <v>5004</v>
      </c>
      <c r="N413" s="3066">
        <v>40.299999999999997</v>
      </c>
      <c r="O413" s="3066" t="s">
        <v>3931</v>
      </c>
      <c r="P413" s="3066" t="s">
        <v>3566</v>
      </c>
      <c r="Q413" s="3066">
        <v>1</v>
      </c>
      <c r="R413" s="3066">
        <v>3300</v>
      </c>
      <c r="S413" s="3066" t="s">
        <v>3567</v>
      </c>
      <c r="T413" s="3066">
        <v>40.94</v>
      </c>
      <c r="U413" s="3066">
        <v>1650</v>
      </c>
      <c r="V413" s="3066" t="s">
        <v>3560</v>
      </c>
      <c r="W413" s="3066" t="s">
        <v>3568</v>
      </c>
      <c r="X413" s="3066">
        <v>2.1</v>
      </c>
      <c r="Y413" s="3066">
        <v>1015.56</v>
      </c>
      <c r="Z413" s="3066" t="s">
        <v>3568</v>
      </c>
      <c r="AA413" s="3066" t="s">
        <v>3560</v>
      </c>
      <c r="AB413" s="3066" t="s">
        <v>3932</v>
      </c>
      <c r="AC413" s="3066" t="s">
        <v>3932</v>
      </c>
      <c r="AD413" s="3066" t="s">
        <v>3932</v>
      </c>
      <c r="AE413" s="3066" t="s">
        <v>3560</v>
      </c>
      <c r="AF413" s="3067">
        <v>1650</v>
      </c>
      <c r="AG413" s="3066">
        <v>1650</v>
      </c>
      <c r="AH413" s="3066">
        <v>84.63</v>
      </c>
      <c r="AI413" s="3066">
        <v>84.63</v>
      </c>
      <c r="AJ413" s="3066">
        <v>83.46</v>
      </c>
      <c r="AK413" s="3066">
        <v>83.46</v>
      </c>
      <c r="AL413" s="3066">
        <v>1818.09</v>
      </c>
      <c r="AM413" s="3066">
        <v>1818.09</v>
      </c>
      <c r="AN413" s="3066" t="s">
        <v>3560</v>
      </c>
      <c r="AP413" s="3068">
        <f t="shared" si="6"/>
        <v>40.942928039702238</v>
      </c>
    </row>
    <row r="414" spans="2:42" ht="27" customHeight="1">
      <c r="B414" s="3066">
        <v>422</v>
      </c>
      <c r="C414" s="3066" t="s">
        <v>3159</v>
      </c>
      <c r="D414" s="3066" t="s">
        <v>4209</v>
      </c>
      <c r="E414" s="3066" t="s">
        <v>5005</v>
      </c>
      <c r="F414" s="3066" t="s">
        <v>3917</v>
      </c>
      <c r="G414" s="3066" t="s">
        <v>3560</v>
      </c>
      <c r="H414" s="3066" t="s">
        <v>3560</v>
      </c>
      <c r="I414" s="3066" t="s">
        <v>5006</v>
      </c>
      <c r="J414" s="3066" t="s">
        <v>3560</v>
      </c>
      <c r="K414" s="3066" t="s">
        <v>3560</v>
      </c>
      <c r="L414" s="3066" t="s">
        <v>5007</v>
      </c>
      <c r="M414" s="3066" t="s">
        <v>5008</v>
      </c>
      <c r="N414" s="3066">
        <v>40.299999999999997</v>
      </c>
      <c r="O414" s="3066" t="s">
        <v>5009</v>
      </c>
      <c r="P414" s="3066" t="s">
        <v>3745</v>
      </c>
      <c r="Q414" s="3066">
        <v>0</v>
      </c>
      <c r="R414" s="3066">
        <v>3300</v>
      </c>
      <c r="S414" s="3066" t="s">
        <v>3567</v>
      </c>
      <c r="T414" s="3066">
        <v>40.94</v>
      </c>
      <c r="U414" s="3066">
        <v>1650</v>
      </c>
      <c r="V414" s="3066" t="s">
        <v>3560</v>
      </c>
      <c r="W414" s="3066" t="s">
        <v>3568</v>
      </c>
      <c r="X414" s="3066">
        <v>2.1</v>
      </c>
      <c r="Y414" s="3066">
        <v>1015.56</v>
      </c>
      <c r="Z414" s="3066" t="s">
        <v>3568</v>
      </c>
      <c r="AA414" s="3066" t="s">
        <v>3560</v>
      </c>
      <c r="AB414" s="3066" t="s">
        <v>4919</v>
      </c>
      <c r="AC414" s="3066" t="s">
        <v>4919</v>
      </c>
      <c r="AD414" s="3066" t="s">
        <v>4919</v>
      </c>
      <c r="AE414" s="3066" t="s">
        <v>3560</v>
      </c>
      <c r="AF414" s="3067">
        <v>1650</v>
      </c>
      <c r="AG414" s="3066">
        <v>0</v>
      </c>
      <c r="AH414" s="3066">
        <v>84.63</v>
      </c>
      <c r="AI414" s="3066">
        <v>0</v>
      </c>
      <c r="AJ414" s="3066">
        <v>175.46</v>
      </c>
      <c r="AK414" s="3066">
        <v>0</v>
      </c>
      <c r="AL414" s="3066">
        <v>1910.09</v>
      </c>
      <c r="AM414" s="3066">
        <v>0</v>
      </c>
      <c r="AN414" s="3066" t="s">
        <v>3560</v>
      </c>
      <c r="AP414" s="3068">
        <f t="shared" si="6"/>
        <v>40.942928039702238</v>
      </c>
    </row>
    <row r="415" spans="2:42" ht="27" customHeight="1">
      <c r="B415" s="3066">
        <v>423</v>
      </c>
      <c r="C415" s="3066" t="s">
        <v>3159</v>
      </c>
      <c r="D415" s="3066" t="s">
        <v>4209</v>
      </c>
      <c r="E415" s="3066" t="s">
        <v>5010</v>
      </c>
      <c r="F415" s="3066" t="s">
        <v>3917</v>
      </c>
      <c r="G415" s="3066" t="s">
        <v>3560</v>
      </c>
      <c r="H415" s="3066" t="s">
        <v>3560</v>
      </c>
      <c r="I415" s="3066" t="s">
        <v>5011</v>
      </c>
      <c r="J415" s="3066" t="s">
        <v>3560</v>
      </c>
      <c r="K415" s="3066" t="s">
        <v>3560</v>
      </c>
      <c r="L415" s="3066" t="s">
        <v>5012</v>
      </c>
      <c r="M415" s="3066" t="s">
        <v>5013</v>
      </c>
      <c r="N415" s="3066">
        <v>40.299999999999997</v>
      </c>
      <c r="O415" s="3066" t="s">
        <v>5009</v>
      </c>
      <c r="P415" s="3066" t="s">
        <v>3566</v>
      </c>
      <c r="Q415" s="3066">
        <v>0</v>
      </c>
      <c r="R415" s="3066">
        <v>3300</v>
      </c>
      <c r="S415" s="3066" t="s">
        <v>3567</v>
      </c>
      <c r="T415" s="3066">
        <v>40.94</v>
      </c>
      <c r="U415" s="3066">
        <v>1650</v>
      </c>
      <c r="V415" s="3066" t="s">
        <v>3560</v>
      </c>
      <c r="W415" s="3066" t="s">
        <v>3568</v>
      </c>
      <c r="X415" s="3066">
        <v>2.1</v>
      </c>
      <c r="Y415" s="3066">
        <v>1015.56</v>
      </c>
      <c r="Z415" s="3066" t="s">
        <v>3568</v>
      </c>
      <c r="AA415" s="3066" t="s">
        <v>3560</v>
      </c>
      <c r="AB415" s="3066" t="s">
        <v>4919</v>
      </c>
      <c r="AC415" s="3066" t="s">
        <v>4919</v>
      </c>
      <c r="AD415" s="3066" t="s">
        <v>4919</v>
      </c>
      <c r="AE415" s="3066" t="s">
        <v>3560</v>
      </c>
      <c r="AF415" s="3067">
        <v>1650</v>
      </c>
      <c r="AG415" s="3066">
        <v>1650</v>
      </c>
      <c r="AH415" s="3066">
        <v>84.63</v>
      </c>
      <c r="AI415" s="3066">
        <v>84.63</v>
      </c>
      <c r="AJ415" s="3066">
        <v>147.72</v>
      </c>
      <c r="AK415" s="3066">
        <v>147.72</v>
      </c>
      <c r="AL415" s="3066">
        <v>1882.35</v>
      </c>
      <c r="AM415" s="3066">
        <v>1882.35</v>
      </c>
      <c r="AN415" s="3066" t="s">
        <v>3560</v>
      </c>
      <c r="AP415" s="3068">
        <f t="shared" si="6"/>
        <v>40.942928039702238</v>
      </c>
    </row>
    <row r="416" spans="2:42" ht="27" customHeight="1">
      <c r="B416" s="3066">
        <v>424</v>
      </c>
      <c r="C416" s="3066" t="s">
        <v>3159</v>
      </c>
      <c r="D416" s="3066" t="s">
        <v>4209</v>
      </c>
      <c r="E416" s="3066" t="s">
        <v>5014</v>
      </c>
      <c r="F416" s="3066" t="s">
        <v>3917</v>
      </c>
      <c r="G416" s="3066" t="s">
        <v>3560</v>
      </c>
      <c r="H416" s="3066" t="s">
        <v>3560</v>
      </c>
      <c r="I416" s="3066" t="s">
        <v>5015</v>
      </c>
      <c r="J416" s="3066" t="s">
        <v>5015</v>
      </c>
      <c r="K416" s="3066" t="s">
        <v>3560</v>
      </c>
      <c r="L416" s="3066" t="s">
        <v>5016</v>
      </c>
      <c r="M416" s="3066" t="s">
        <v>5017</v>
      </c>
      <c r="N416" s="3066">
        <v>40.299999999999997</v>
      </c>
      <c r="O416" s="3066" t="s">
        <v>5018</v>
      </c>
      <c r="P416" s="3066" t="s">
        <v>3566</v>
      </c>
      <c r="Q416" s="3066">
        <v>1</v>
      </c>
      <c r="R416" s="3066">
        <v>3300</v>
      </c>
      <c r="S416" s="3066" t="s">
        <v>3567</v>
      </c>
      <c r="T416" s="3066">
        <v>40.94</v>
      </c>
      <c r="U416" s="3066">
        <v>1650</v>
      </c>
      <c r="V416" s="3066" t="s">
        <v>3560</v>
      </c>
      <c r="W416" s="3066" t="s">
        <v>3568</v>
      </c>
      <c r="X416" s="3066">
        <v>2.1</v>
      </c>
      <c r="Y416" s="3066">
        <v>1015.56</v>
      </c>
      <c r="Z416" s="3066" t="s">
        <v>3568</v>
      </c>
      <c r="AA416" s="3066" t="s">
        <v>3560</v>
      </c>
      <c r="AB416" s="3066" t="s">
        <v>4860</v>
      </c>
      <c r="AC416" s="3066" t="s">
        <v>4860</v>
      </c>
      <c r="AD416" s="3066" t="s">
        <v>4860</v>
      </c>
      <c r="AE416" s="3066" t="s">
        <v>3560</v>
      </c>
      <c r="AF416" s="3067">
        <v>1650</v>
      </c>
      <c r="AG416" s="3066">
        <v>1650</v>
      </c>
      <c r="AH416" s="3066">
        <v>84.63</v>
      </c>
      <c r="AI416" s="3066">
        <v>84.63</v>
      </c>
      <c r="AJ416" s="3066">
        <v>233.37</v>
      </c>
      <c r="AK416" s="3066">
        <v>233.37</v>
      </c>
      <c r="AL416" s="3066">
        <v>1968</v>
      </c>
      <c r="AM416" s="3066">
        <v>1968</v>
      </c>
      <c r="AN416" s="3066" t="s">
        <v>3560</v>
      </c>
      <c r="AP416" s="3068">
        <f t="shared" si="6"/>
        <v>40.942928039702238</v>
      </c>
    </row>
    <row r="417" spans="2:42" ht="27" customHeight="1">
      <c r="B417" s="3066">
        <v>425</v>
      </c>
      <c r="C417" s="3066" t="s">
        <v>3159</v>
      </c>
      <c r="D417" s="3066" t="s">
        <v>4209</v>
      </c>
      <c r="E417" s="3066" t="s">
        <v>5019</v>
      </c>
      <c r="F417" s="3066" t="s">
        <v>3917</v>
      </c>
      <c r="G417" s="3066" t="s">
        <v>1373</v>
      </c>
      <c r="H417" s="3066" t="s">
        <v>3560</v>
      </c>
      <c r="I417" s="3066" t="s">
        <v>3909</v>
      </c>
      <c r="J417" s="3066" t="s">
        <v>3910</v>
      </c>
      <c r="K417" s="3066" t="s">
        <v>3560</v>
      </c>
      <c r="L417" s="3066" t="s">
        <v>3911</v>
      </c>
      <c r="M417" s="3066" t="s">
        <v>5020</v>
      </c>
      <c r="N417" s="3066">
        <v>40.299999999999997</v>
      </c>
      <c r="O417" s="3066" t="s">
        <v>5021</v>
      </c>
      <c r="P417" s="3066" t="s">
        <v>3566</v>
      </c>
      <c r="Q417" s="3066">
        <v>0</v>
      </c>
      <c r="R417" s="3066">
        <v>3300</v>
      </c>
      <c r="S417" s="3066" t="s">
        <v>3567</v>
      </c>
      <c r="T417" s="3066">
        <v>40.94</v>
      </c>
      <c r="U417" s="3066">
        <v>1650</v>
      </c>
      <c r="V417" s="3066" t="s">
        <v>3560</v>
      </c>
      <c r="W417" s="3066" t="s">
        <v>3568</v>
      </c>
      <c r="X417" s="3066">
        <v>2.1</v>
      </c>
      <c r="Y417" s="3066">
        <v>1015.56</v>
      </c>
      <c r="Z417" s="3066" t="s">
        <v>3568</v>
      </c>
      <c r="AA417" s="3066" t="s">
        <v>3560</v>
      </c>
      <c r="AB417" s="3066" t="s">
        <v>5022</v>
      </c>
      <c r="AC417" s="3066" t="s">
        <v>5022</v>
      </c>
      <c r="AD417" s="3066" t="s">
        <v>5022</v>
      </c>
      <c r="AE417" s="3066" t="s">
        <v>3560</v>
      </c>
      <c r="AF417" s="3067">
        <v>1650</v>
      </c>
      <c r="AG417" s="3066">
        <v>0</v>
      </c>
      <c r="AH417" s="3066">
        <v>84.63</v>
      </c>
      <c r="AI417" s="3066">
        <v>0</v>
      </c>
      <c r="AJ417" s="3066">
        <v>47.73</v>
      </c>
      <c r="AK417" s="3066">
        <v>0</v>
      </c>
      <c r="AL417" s="3066">
        <v>1782.36</v>
      </c>
      <c r="AM417" s="3066">
        <v>0</v>
      </c>
      <c r="AN417" s="3066" t="s">
        <v>3560</v>
      </c>
      <c r="AP417" s="3068">
        <f t="shared" si="6"/>
        <v>40.942928039702238</v>
      </c>
    </row>
    <row r="418" spans="2:42" ht="27" customHeight="1">
      <c r="B418" s="3066">
        <v>426</v>
      </c>
      <c r="C418" s="3066" t="s">
        <v>3159</v>
      </c>
      <c r="D418" s="3066" t="s">
        <v>4209</v>
      </c>
      <c r="E418" s="3066" t="s">
        <v>5023</v>
      </c>
      <c r="F418" s="3066" t="s">
        <v>3917</v>
      </c>
      <c r="G418" s="3066" t="s">
        <v>3560</v>
      </c>
      <c r="H418" s="3066" t="s">
        <v>3560</v>
      </c>
      <c r="I418" s="3066" t="s">
        <v>5024</v>
      </c>
      <c r="J418" s="3066" t="s">
        <v>5025</v>
      </c>
      <c r="K418" s="3066" t="s">
        <v>3560</v>
      </c>
      <c r="L418" s="3066" t="s">
        <v>5026</v>
      </c>
      <c r="M418" s="3066" t="s">
        <v>5027</v>
      </c>
      <c r="N418" s="3066">
        <v>40.299999999999997</v>
      </c>
      <c r="O418" s="3066" t="s">
        <v>5028</v>
      </c>
      <c r="P418" s="3066" t="s">
        <v>3745</v>
      </c>
      <c r="Q418" s="3066">
        <v>0</v>
      </c>
      <c r="R418" s="3066">
        <v>3300</v>
      </c>
      <c r="S418" s="3066" t="s">
        <v>3567</v>
      </c>
      <c r="T418" s="3066">
        <v>40.94</v>
      </c>
      <c r="U418" s="3066">
        <v>1650</v>
      </c>
      <c r="V418" s="3066" t="s">
        <v>3560</v>
      </c>
      <c r="W418" s="3066" t="s">
        <v>3568</v>
      </c>
      <c r="X418" s="3066">
        <v>2.1</v>
      </c>
      <c r="Y418" s="3066">
        <v>1015.56</v>
      </c>
      <c r="Z418" s="3066" t="s">
        <v>3568</v>
      </c>
      <c r="AA418" s="3066" t="s">
        <v>3560</v>
      </c>
      <c r="AB418" s="3066" t="s">
        <v>5029</v>
      </c>
      <c r="AC418" s="3066" t="s">
        <v>5029</v>
      </c>
      <c r="AD418" s="3066" t="s">
        <v>5029</v>
      </c>
      <c r="AE418" s="3066" t="s">
        <v>3560</v>
      </c>
      <c r="AF418" s="3067">
        <v>1650</v>
      </c>
      <c r="AG418" s="3066">
        <v>1650</v>
      </c>
      <c r="AH418" s="3066">
        <v>84.63</v>
      </c>
      <c r="AI418" s="3066">
        <v>84.63</v>
      </c>
      <c r="AJ418" s="3066">
        <v>112.4</v>
      </c>
      <c r="AK418" s="3066">
        <v>112.4</v>
      </c>
      <c r="AL418" s="3066">
        <v>1847.03</v>
      </c>
      <c r="AM418" s="3066">
        <v>1847.03</v>
      </c>
      <c r="AN418" s="3066" t="s">
        <v>3560</v>
      </c>
      <c r="AP418" s="3068">
        <f t="shared" si="6"/>
        <v>40.942928039702238</v>
      </c>
    </row>
    <row r="419" spans="2:42" ht="27" customHeight="1">
      <c r="B419" s="3066">
        <v>427</v>
      </c>
      <c r="C419" s="3066" t="s">
        <v>3159</v>
      </c>
      <c r="D419" s="3066" t="s">
        <v>4209</v>
      </c>
      <c r="E419" s="3066" t="s">
        <v>5030</v>
      </c>
      <c r="F419" s="3066" t="s">
        <v>3917</v>
      </c>
      <c r="G419" s="3066" t="s">
        <v>3560</v>
      </c>
      <c r="H419" s="3066" t="s">
        <v>3560</v>
      </c>
      <c r="I419" s="3066" t="s">
        <v>5031</v>
      </c>
      <c r="J419" s="3066" t="s">
        <v>5031</v>
      </c>
      <c r="K419" s="3066" t="s">
        <v>3560</v>
      </c>
      <c r="L419" s="3066" t="s">
        <v>5032</v>
      </c>
      <c r="M419" s="3066" t="s">
        <v>5033</v>
      </c>
      <c r="N419" s="3066">
        <v>40.299999999999997</v>
      </c>
      <c r="O419" s="3066" t="s">
        <v>5034</v>
      </c>
      <c r="P419" s="3066" t="s">
        <v>3566</v>
      </c>
      <c r="Q419" s="3066">
        <v>1</v>
      </c>
      <c r="R419" s="3066">
        <v>3300</v>
      </c>
      <c r="S419" s="3066" t="s">
        <v>3567</v>
      </c>
      <c r="T419" s="3066">
        <v>40.94</v>
      </c>
      <c r="U419" s="3066">
        <v>1650</v>
      </c>
      <c r="V419" s="3066" t="s">
        <v>3560</v>
      </c>
      <c r="W419" s="3066" t="s">
        <v>3568</v>
      </c>
      <c r="X419" s="3066">
        <v>2.1</v>
      </c>
      <c r="Y419" s="3066">
        <v>1015.56</v>
      </c>
      <c r="Z419" s="3066" t="s">
        <v>3568</v>
      </c>
      <c r="AA419" s="3066" t="s">
        <v>3560</v>
      </c>
      <c r="AB419" s="3066" t="s">
        <v>5035</v>
      </c>
      <c r="AC419" s="3066" t="s">
        <v>5035</v>
      </c>
      <c r="AD419" s="3066" t="s">
        <v>5035</v>
      </c>
      <c r="AE419" s="3066" t="s">
        <v>3560</v>
      </c>
      <c r="AF419" s="3067">
        <v>1650</v>
      </c>
      <c r="AG419" s="3066">
        <v>1650</v>
      </c>
      <c r="AH419" s="3066">
        <v>84.63</v>
      </c>
      <c r="AI419" s="3066">
        <v>84.63</v>
      </c>
      <c r="AJ419" s="3066">
        <v>204.65</v>
      </c>
      <c r="AK419" s="3066">
        <v>204.65</v>
      </c>
      <c r="AL419" s="3066">
        <v>1939.28</v>
      </c>
      <c r="AM419" s="3066">
        <v>1939.28</v>
      </c>
      <c r="AN419" s="3066" t="s">
        <v>3560</v>
      </c>
      <c r="AP419" s="3068">
        <f t="shared" si="6"/>
        <v>40.942928039702238</v>
      </c>
    </row>
    <row r="420" spans="2:42" ht="27" customHeight="1">
      <c r="B420" s="3066">
        <v>428</v>
      </c>
      <c r="C420" s="3066" t="s">
        <v>3159</v>
      </c>
      <c r="D420" s="3066" t="s">
        <v>4209</v>
      </c>
      <c r="E420" s="3066" t="s">
        <v>5036</v>
      </c>
      <c r="F420" s="3066" t="s">
        <v>3917</v>
      </c>
      <c r="G420" s="3066" t="s">
        <v>3560</v>
      </c>
      <c r="H420" s="3066" t="s">
        <v>3560</v>
      </c>
      <c r="I420" s="3066" t="s">
        <v>3560</v>
      </c>
      <c r="J420" s="3066" t="s">
        <v>3560</v>
      </c>
      <c r="K420" s="3066" t="s">
        <v>3560</v>
      </c>
      <c r="L420" s="3066" t="s">
        <v>3560</v>
      </c>
      <c r="M420" s="3066" t="s">
        <v>5037</v>
      </c>
      <c r="N420" s="3066">
        <v>40.299999999999997</v>
      </c>
      <c r="O420" s="3066" t="s">
        <v>3560</v>
      </c>
      <c r="P420" s="3066" t="s">
        <v>3560</v>
      </c>
      <c r="Q420" s="3066">
        <v>0</v>
      </c>
      <c r="R420" s="3066">
        <v>0</v>
      </c>
      <c r="S420" s="3066" t="s">
        <v>3577</v>
      </c>
      <c r="T420" s="3066">
        <v>0</v>
      </c>
      <c r="U420" s="3066">
        <v>0</v>
      </c>
      <c r="V420" s="3066" t="s">
        <v>3560</v>
      </c>
      <c r="W420" s="3066" t="s">
        <v>3568</v>
      </c>
      <c r="X420" s="3066">
        <v>0</v>
      </c>
      <c r="Y420" s="3066">
        <v>0</v>
      </c>
      <c r="Z420" s="3066" t="s">
        <v>3568</v>
      </c>
      <c r="AA420" s="3066" t="s">
        <v>3560</v>
      </c>
      <c r="AB420" s="3066" t="s">
        <v>3560</v>
      </c>
      <c r="AC420" s="3066" t="s">
        <v>3560</v>
      </c>
      <c r="AD420" s="3066" t="s">
        <v>3560</v>
      </c>
      <c r="AE420" s="3066" t="s">
        <v>3560</v>
      </c>
      <c r="AF420" s="3067">
        <v>0</v>
      </c>
      <c r="AG420" s="3066">
        <v>0</v>
      </c>
      <c r="AH420" s="3066">
        <v>0</v>
      </c>
      <c r="AI420" s="3066">
        <v>0</v>
      </c>
      <c r="AJ420" s="3066">
        <v>0</v>
      </c>
      <c r="AK420" s="3066">
        <v>0</v>
      </c>
      <c r="AL420" s="3066">
        <v>0</v>
      </c>
      <c r="AM420" s="3066">
        <v>0</v>
      </c>
      <c r="AN420" s="3066" t="s">
        <v>3560</v>
      </c>
      <c r="AP420" s="3068">
        <f t="shared" si="6"/>
        <v>0</v>
      </c>
    </row>
    <row r="421" spans="2:42" ht="27" customHeight="1">
      <c r="B421" s="3066">
        <v>429</v>
      </c>
      <c r="C421" s="3066" t="s">
        <v>3159</v>
      </c>
      <c r="D421" s="3066" t="s">
        <v>4209</v>
      </c>
      <c r="E421" s="3066" t="s">
        <v>5038</v>
      </c>
      <c r="F421" s="3066" t="s">
        <v>3917</v>
      </c>
      <c r="G421" s="3066" t="s">
        <v>3560</v>
      </c>
      <c r="H421" s="3066" t="s">
        <v>3560</v>
      </c>
      <c r="I421" s="3066" t="s">
        <v>5039</v>
      </c>
      <c r="J421" s="3066" t="s">
        <v>5039</v>
      </c>
      <c r="K421" s="3066" t="s">
        <v>3560</v>
      </c>
      <c r="L421" s="3066" t="s">
        <v>5040</v>
      </c>
      <c r="M421" s="3066" t="s">
        <v>5041</v>
      </c>
      <c r="N421" s="3066">
        <v>40.299999999999997</v>
      </c>
      <c r="O421" s="3066" t="s">
        <v>4044</v>
      </c>
      <c r="P421" s="3066" t="s">
        <v>3566</v>
      </c>
      <c r="Q421" s="3066">
        <v>0</v>
      </c>
      <c r="R421" s="3066">
        <v>3300</v>
      </c>
      <c r="S421" s="3066" t="s">
        <v>3567</v>
      </c>
      <c r="T421" s="3066">
        <v>40.94</v>
      </c>
      <c r="U421" s="3066">
        <v>1650</v>
      </c>
      <c r="V421" s="3066" t="s">
        <v>3560</v>
      </c>
      <c r="W421" s="3066" t="s">
        <v>3568</v>
      </c>
      <c r="X421" s="3066">
        <v>2.1</v>
      </c>
      <c r="Y421" s="3066">
        <v>1015.56</v>
      </c>
      <c r="Z421" s="3066" t="s">
        <v>3568</v>
      </c>
      <c r="AA421" s="3066" t="s">
        <v>3560</v>
      </c>
      <c r="AB421" s="3066" t="s">
        <v>3932</v>
      </c>
      <c r="AC421" s="3066" t="s">
        <v>3932</v>
      </c>
      <c r="AD421" s="3066" t="s">
        <v>3932</v>
      </c>
      <c r="AE421" s="3066" t="s">
        <v>3560</v>
      </c>
      <c r="AF421" s="3067">
        <v>1650</v>
      </c>
      <c r="AG421" s="3066">
        <v>1650</v>
      </c>
      <c r="AH421" s="3066">
        <v>84.63</v>
      </c>
      <c r="AI421" s="3066">
        <v>84.63</v>
      </c>
      <c r="AJ421" s="3066">
        <v>163.46</v>
      </c>
      <c r="AK421" s="3066">
        <v>163.46</v>
      </c>
      <c r="AL421" s="3066">
        <v>1898.09</v>
      </c>
      <c r="AM421" s="3066">
        <v>1898.09</v>
      </c>
      <c r="AN421" s="3066" t="s">
        <v>3560</v>
      </c>
      <c r="AP421" s="3068">
        <f t="shared" si="6"/>
        <v>40.942928039702238</v>
      </c>
    </row>
    <row r="422" spans="2:42" ht="27" customHeight="1">
      <c r="B422" s="3066">
        <v>430</v>
      </c>
      <c r="C422" s="3066" t="s">
        <v>3159</v>
      </c>
      <c r="D422" s="3066" t="s">
        <v>4209</v>
      </c>
      <c r="E422" s="3066" t="s">
        <v>5042</v>
      </c>
      <c r="F422" s="3066" t="s">
        <v>3917</v>
      </c>
      <c r="G422" s="3066" t="s">
        <v>3560</v>
      </c>
      <c r="H422" s="3066" t="s">
        <v>3560</v>
      </c>
      <c r="I422" s="3066" t="s">
        <v>3560</v>
      </c>
      <c r="J422" s="3066" t="s">
        <v>3560</v>
      </c>
      <c r="K422" s="3066" t="s">
        <v>3560</v>
      </c>
      <c r="L422" s="3066" t="s">
        <v>3560</v>
      </c>
      <c r="M422" s="3066" t="s">
        <v>5043</v>
      </c>
      <c r="N422" s="3066">
        <v>40.299999999999997</v>
      </c>
      <c r="O422" s="3066" t="s">
        <v>3560</v>
      </c>
      <c r="P422" s="3066" t="s">
        <v>3560</v>
      </c>
      <c r="Q422" s="3066">
        <v>0</v>
      </c>
      <c r="R422" s="3066">
        <v>0</v>
      </c>
      <c r="S422" s="3066" t="s">
        <v>3577</v>
      </c>
      <c r="T422" s="3066">
        <v>0</v>
      </c>
      <c r="U422" s="3066">
        <v>0</v>
      </c>
      <c r="V422" s="3066" t="s">
        <v>3560</v>
      </c>
      <c r="W422" s="3066" t="s">
        <v>3568</v>
      </c>
      <c r="X422" s="3066">
        <v>0</v>
      </c>
      <c r="Y422" s="3066">
        <v>0</v>
      </c>
      <c r="Z422" s="3066" t="s">
        <v>3568</v>
      </c>
      <c r="AA422" s="3066" t="s">
        <v>3560</v>
      </c>
      <c r="AB422" s="3066" t="s">
        <v>3560</v>
      </c>
      <c r="AC422" s="3066" t="s">
        <v>3560</v>
      </c>
      <c r="AD422" s="3066" t="s">
        <v>3560</v>
      </c>
      <c r="AE422" s="3066" t="s">
        <v>3560</v>
      </c>
      <c r="AF422" s="3067">
        <v>0</v>
      </c>
      <c r="AG422" s="3066">
        <v>0</v>
      </c>
      <c r="AH422" s="3066">
        <v>0</v>
      </c>
      <c r="AI422" s="3066">
        <v>0</v>
      </c>
      <c r="AJ422" s="3066">
        <v>0</v>
      </c>
      <c r="AK422" s="3066">
        <v>0</v>
      </c>
      <c r="AL422" s="3066">
        <v>0</v>
      </c>
      <c r="AM422" s="3066">
        <v>0</v>
      </c>
      <c r="AN422" s="3066" t="s">
        <v>3560</v>
      </c>
      <c r="AP422" s="3068">
        <f t="shared" si="6"/>
        <v>0</v>
      </c>
    </row>
    <row r="423" spans="2:42" ht="27" customHeight="1">
      <c r="B423" s="3066">
        <v>431</v>
      </c>
      <c r="C423" s="3066" t="s">
        <v>3159</v>
      </c>
      <c r="D423" s="3066" t="s">
        <v>4209</v>
      </c>
      <c r="E423" s="3066" t="s">
        <v>5044</v>
      </c>
      <c r="F423" s="3066" t="s">
        <v>3917</v>
      </c>
      <c r="G423" s="3066" t="s">
        <v>3560</v>
      </c>
      <c r="H423" s="3066" t="s">
        <v>3560</v>
      </c>
      <c r="I423" s="3066" t="s">
        <v>5045</v>
      </c>
      <c r="J423" s="3066" t="s">
        <v>5045</v>
      </c>
      <c r="K423" s="3066" t="s">
        <v>3560</v>
      </c>
      <c r="L423" s="3066" t="s">
        <v>5046</v>
      </c>
      <c r="M423" s="3066" t="s">
        <v>5047</v>
      </c>
      <c r="N423" s="3066">
        <v>46.3</v>
      </c>
      <c r="O423" s="3066" t="s">
        <v>5034</v>
      </c>
      <c r="P423" s="3066" t="s">
        <v>3566</v>
      </c>
      <c r="Q423" s="3066">
        <v>1</v>
      </c>
      <c r="R423" s="3066">
        <v>3600</v>
      </c>
      <c r="S423" s="3066" t="s">
        <v>3567</v>
      </c>
      <c r="T423" s="3066">
        <v>38.880000000000003</v>
      </c>
      <c r="U423" s="3066">
        <v>1800</v>
      </c>
      <c r="V423" s="3066" t="s">
        <v>3560</v>
      </c>
      <c r="W423" s="3066" t="s">
        <v>3568</v>
      </c>
      <c r="X423" s="3066">
        <v>2.1</v>
      </c>
      <c r="Y423" s="3066">
        <v>1166.76</v>
      </c>
      <c r="Z423" s="3066" t="s">
        <v>3568</v>
      </c>
      <c r="AA423" s="3066" t="s">
        <v>3560</v>
      </c>
      <c r="AB423" s="3066" t="s">
        <v>5035</v>
      </c>
      <c r="AC423" s="3066" t="s">
        <v>5035</v>
      </c>
      <c r="AD423" s="3066" t="s">
        <v>5035</v>
      </c>
      <c r="AE423" s="3066" t="s">
        <v>3560</v>
      </c>
      <c r="AF423" s="3067">
        <v>1800</v>
      </c>
      <c r="AG423" s="3066">
        <v>1800</v>
      </c>
      <c r="AH423" s="3066">
        <v>97.23</v>
      </c>
      <c r="AI423" s="3066">
        <v>97.23</v>
      </c>
      <c r="AJ423" s="3066">
        <v>225.05</v>
      </c>
      <c r="AK423" s="3066">
        <v>225.05</v>
      </c>
      <c r="AL423" s="3066">
        <v>2122.2800000000002</v>
      </c>
      <c r="AM423" s="3066">
        <v>2122.2800000000002</v>
      </c>
      <c r="AN423" s="3066" t="s">
        <v>3560</v>
      </c>
      <c r="AP423" s="3068">
        <f t="shared" si="6"/>
        <v>38.876889848812098</v>
      </c>
    </row>
    <row r="424" spans="2:42" ht="27" customHeight="1">
      <c r="B424" s="3066">
        <v>432</v>
      </c>
      <c r="C424" s="3066" t="s">
        <v>3163</v>
      </c>
      <c r="D424" s="3066" t="s">
        <v>3901</v>
      </c>
      <c r="E424" s="3066" t="s">
        <v>5048</v>
      </c>
      <c r="F424" s="3066" t="s">
        <v>3917</v>
      </c>
      <c r="G424" s="3066" t="s">
        <v>1373</v>
      </c>
      <c r="H424" s="3066" t="s">
        <v>3560</v>
      </c>
      <c r="I424" s="3066" t="s">
        <v>3561</v>
      </c>
      <c r="J424" s="3066" t="s">
        <v>3562</v>
      </c>
      <c r="K424" s="3066" t="s">
        <v>3560</v>
      </c>
      <c r="L424" s="3066" t="s">
        <v>3563</v>
      </c>
      <c r="M424" s="3066" t="s">
        <v>5049</v>
      </c>
      <c r="N424" s="3066">
        <v>2930</v>
      </c>
      <c r="O424" s="3066" t="s">
        <v>3565</v>
      </c>
      <c r="P424" s="3066" t="s">
        <v>3566</v>
      </c>
      <c r="Q424" s="3066">
        <v>15</v>
      </c>
      <c r="R424" s="3066">
        <v>0</v>
      </c>
      <c r="S424" s="3066" t="s">
        <v>3577</v>
      </c>
      <c r="T424" s="3066">
        <v>19.8</v>
      </c>
      <c r="U424" s="3066">
        <v>58014</v>
      </c>
      <c r="V424" s="3066" t="s">
        <v>3560</v>
      </c>
      <c r="W424" s="3066" t="s">
        <v>3568</v>
      </c>
      <c r="X424" s="3066">
        <v>0</v>
      </c>
      <c r="Y424" s="3066">
        <v>0</v>
      </c>
      <c r="Z424" s="3066" t="s">
        <v>3568</v>
      </c>
      <c r="AA424" s="3066" t="s">
        <v>3560</v>
      </c>
      <c r="AB424" s="3066" t="s">
        <v>3569</v>
      </c>
      <c r="AC424" s="3066" t="s">
        <v>3569</v>
      </c>
      <c r="AD424" s="3066" t="s">
        <v>3569</v>
      </c>
      <c r="AE424" s="3066" t="s">
        <v>3560</v>
      </c>
      <c r="AF424" s="3067">
        <v>60944</v>
      </c>
      <c r="AG424" s="3066">
        <v>0</v>
      </c>
      <c r="AH424" s="3066">
        <v>0</v>
      </c>
      <c r="AI424" s="3066">
        <v>0</v>
      </c>
      <c r="AJ424" s="3066">
        <v>5628.25</v>
      </c>
      <c r="AK424" s="3066">
        <v>0</v>
      </c>
      <c r="AL424" s="3066">
        <v>66572.25</v>
      </c>
      <c r="AM424" s="3066">
        <v>0</v>
      </c>
      <c r="AN424" s="3066" t="s">
        <v>3560</v>
      </c>
      <c r="AP424" s="3068">
        <f t="shared" si="6"/>
        <v>20.8</v>
      </c>
    </row>
    <row r="425" spans="2:42" ht="27" customHeight="1">
      <c r="B425" s="3066">
        <v>433</v>
      </c>
      <c r="C425" s="3066" t="s">
        <v>3167</v>
      </c>
      <c r="D425" s="3066" t="s">
        <v>4003</v>
      </c>
      <c r="E425" s="3066" t="s">
        <v>5050</v>
      </c>
      <c r="F425" s="3066" t="s">
        <v>3917</v>
      </c>
      <c r="G425" s="3066" t="s">
        <v>3560</v>
      </c>
      <c r="H425" s="3066" t="s">
        <v>3560</v>
      </c>
      <c r="I425" s="3066" t="s">
        <v>3560</v>
      </c>
      <c r="J425" s="3066" t="s">
        <v>3560</v>
      </c>
      <c r="K425" s="3066" t="s">
        <v>3560</v>
      </c>
      <c r="L425" s="3066" t="s">
        <v>3560</v>
      </c>
      <c r="M425" s="3066" t="s">
        <v>5051</v>
      </c>
      <c r="N425" s="3066">
        <v>0</v>
      </c>
      <c r="O425" s="3066" t="s">
        <v>3560</v>
      </c>
      <c r="P425" s="3066" t="s">
        <v>3560</v>
      </c>
      <c r="Q425" s="3066">
        <v>0</v>
      </c>
      <c r="R425" s="3066">
        <v>0</v>
      </c>
      <c r="S425" s="3066" t="s">
        <v>3577</v>
      </c>
      <c r="T425" s="3066">
        <v>0</v>
      </c>
      <c r="U425" s="3066">
        <v>0</v>
      </c>
      <c r="V425" s="3066" t="s">
        <v>3560</v>
      </c>
      <c r="W425" s="3066" t="s">
        <v>3568</v>
      </c>
      <c r="X425" s="3066">
        <v>0</v>
      </c>
      <c r="Y425" s="3066">
        <v>0</v>
      </c>
      <c r="Z425" s="3066" t="s">
        <v>3568</v>
      </c>
      <c r="AA425" s="3066" t="s">
        <v>3560</v>
      </c>
      <c r="AB425" s="3066" t="s">
        <v>3560</v>
      </c>
      <c r="AC425" s="3066" t="s">
        <v>3560</v>
      </c>
      <c r="AD425" s="3066" t="s">
        <v>3560</v>
      </c>
      <c r="AE425" s="3066" t="s">
        <v>3560</v>
      </c>
      <c r="AF425" s="3067">
        <v>0</v>
      </c>
      <c r="AG425" s="3066">
        <v>0</v>
      </c>
      <c r="AH425" s="3066">
        <v>0</v>
      </c>
      <c r="AI425" s="3066">
        <v>0</v>
      </c>
      <c r="AJ425" s="3066">
        <v>0</v>
      </c>
      <c r="AK425" s="3066">
        <v>0</v>
      </c>
      <c r="AL425" s="3066">
        <v>0</v>
      </c>
      <c r="AM425" s="3066">
        <v>0</v>
      </c>
      <c r="AN425" s="3066" t="s">
        <v>3560</v>
      </c>
      <c r="AP425" s="3068" t="e">
        <f t="shared" si="6"/>
        <v>#DIV/0!</v>
      </c>
    </row>
    <row r="426" spans="2:42" ht="27" customHeight="1">
      <c r="B426" s="3066">
        <v>434</v>
      </c>
      <c r="C426" s="3066" t="s">
        <v>3167</v>
      </c>
      <c r="D426" s="3066" t="s">
        <v>4003</v>
      </c>
      <c r="E426" s="3066" t="s">
        <v>5052</v>
      </c>
      <c r="F426" s="3066" t="s">
        <v>3917</v>
      </c>
      <c r="G426" s="3066" t="s">
        <v>3560</v>
      </c>
      <c r="H426" s="3066" t="s">
        <v>3560</v>
      </c>
      <c r="I426" s="3066" t="s">
        <v>3560</v>
      </c>
      <c r="J426" s="3066" t="s">
        <v>3560</v>
      </c>
      <c r="K426" s="3066" t="s">
        <v>3560</v>
      </c>
      <c r="L426" s="3066" t="s">
        <v>3560</v>
      </c>
      <c r="M426" s="3066" t="s">
        <v>5053</v>
      </c>
      <c r="N426" s="3066">
        <v>0</v>
      </c>
      <c r="O426" s="3066" t="s">
        <v>3560</v>
      </c>
      <c r="P426" s="3066" t="s">
        <v>3560</v>
      </c>
      <c r="Q426" s="3066">
        <v>0</v>
      </c>
      <c r="R426" s="3066">
        <v>0</v>
      </c>
      <c r="S426" s="3066" t="s">
        <v>3577</v>
      </c>
      <c r="T426" s="3066">
        <v>0</v>
      </c>
      <c r="U426" s="3066">
        <v>0</v>
      </c>
      <c r="V426" s="3066" t="s">
        <v>3560</v>
      </c>
      <c r="W426" s="3066" t="s">
        <v>3568</v>
      </c>
      <c r="X426" s="3066">
        <v>0</v>
      </c>
      <c r="Y426" s="3066">
        <v>0</v>
      </c>
      <c r="Z426" s="3066" t="s">
        <v>3568</v>
      </c>
      <c r="AA426" s="3066" t="s">
        <v>3560</v>
      </c>
      <c r="AB426" s="3066" t="s">
        <v>3560</v>
      </c>
      <c r="AC426" s="3066" t="s">
        <v>3560</v>
      </c>
      <c r="AD426" s="3066" t="s">
        <v>3560</v>
      </c>
      <c r="AE426" s="3066" t="s">
        <v>3560</v>
      </c>
      <c r="AF426" s="3067">
        <v>0</v>
      </c>
      <c r="AG426" s="3066">
        <v>0</v>
      </c>
      <c r="AH426" s="3066">
        <v>0</v>
      </c>
      <c r="AI426" s="3066">
        <v>0</v>
      </c>
      <c r="AJ426" s="3066">
        <v>0</v>
      </c>
      <c r="AK426" s="3066">
        <v>0</v>
      </c>
      <c r="AL426" s="3066">
        <v>0</v>
      </c>
      <c r="AM426" s="3066">
        <v>0</v>
      </c>
      <c r="AN426" s="3066" t="s">
        <v>3560</v>
      </c>
      <c r="AP426" s="3068" t="e">
        <f t="shared" si="6"/>
        <v>#DIV/0!</v>
      </c>
    </row>
    <row r="427" spans="2:42" ht="27" customHeight="1">
      <c r="B427" s="3066">
        <v>435</v>
      </c>
      <c r="C427" s="3066" t="s">
        <v>3167</v>
      </c>
      <c r="D427" s="3066" t="s">
        <v>4003</v>
      </c>
      <c r="E427" s="3066" t="s">
        <v>5054</v>
      </c>
      <c r="F427" s="3066" t="s">
        <v>3917</v>
      </c>
      <c r="G427" s="3066" t="s">
        <v>3560</v>
      </c>
      <c r="H427" s="3066" t="s">
        <v>3560</v>
      </c>
      <c r="I427" s="3066" t="s">
        <v>3560</v>
      </c>
      <c r="J427" s="3066" t="s">
        <v>3560</v>
      </c>
      <c r="K427" s="3066" t="s">
        <v>3560</v>
      </c>
      <c r="L427" s="3066" t="s">
        <v>3560</v>
      </c>
      <c r="M427" s="3066" t="s">
        <v>5055</v>
      </c>
      <c r="N427" s="3066">
        <v>0</v>
      </c>
      <c r="O427" s="3066" t="s">
        <v>3560</v>
      </c>
      <c r="P427" s="3066" t="s">
        <v>3560</v>
      </c>
      <c r="Q427" s="3066">
        <v>0</v>
      </c>
      <c r="R427" s="3066">
        <v>0</v>
      </c>
      <c r="S427" s="3066" t="s">
        <v>3577</v>
      </c>
      <c r="T427" s="3066">
        <v>0</v>
      </c>
      <c r="U427" s="3066">
        <v>0</v>
      </c>
      <c r="V427" s="3066" t="s">
        <v>3560</v>
      </c>
      <c r="W427" s="3066" t="s">
        <v>3568</v>
      </c>
      <c r="X427" s="3066">
        <v>0</v>
      </c>
      <c r="Y427" s="3066">
        <v>0</v>
      </c>
      <c r="Z427" s="3066" t="s">
        <v>3568</v>
      </c>
      <c r="AA427" s="3066" t="s">
        <v>3560</v>
      </c>
      <c r="AB427" s="3066" t="s">
        <v>3560</v>
      </c>
      <c r="AC427" s="3066" t="s">
        <v>3560</v>
      </c>
      <c r="AD427" s="3066" t="s">
        <v>3560</v>
      </c>
      <c r="AE427" s="3066" t="s">
        <v>3560</v>
      </c>
      <c r="AF427" s="3067">
        <v>0</v>
      </c>
      <c r="AG427" s="3066">
        <v>0</v>
      </c>
      <c r="AH427" s="3066">
        <v>0</v>
      </c>
      <c r="AI427" s="3066">
        <v>0</v>
      </c>
      <c r="AJ427" s="3066">
        <v>0</v>
      </c>
      <c r="AK427" s="3066">
        <v>0</v>
      </c>
      <c r="AL427" s="3066">
        <v>0</v>
      </c>
      <c r="AM427" s="3066">
        <v>0</v>
      </c>
      <c r="AN427" s="3066" t="s">
        <v>3560</v>
      </c>
      <c r="AP427" s="3068" t="e">
        <f t="shared" si="6"/>
        <v>#DIV/0!</v>
      </c>
    </row>
    <row r="428" spans="2:42" ht="27" customHeight="1">
      <c r="B428" s="3066">
        <v>436</v>
      </c>
      <c r="C428" s="3066" t="s">
        <v>3167</v>
      </c>
      <c r="D428" s="3066" t="s">
        <v>4003</v>
      </c>
      <c r="E428" s="3066" t="s">
        <v>5056</v>
      </c>
      <c r="F428" s="3066" t="s">
        <v>3917</v>
      </c>
      <c r="G428" s="3066" t="s">
        <v>3560</v>
      </c>
      <c r="H428" s="3066" t="s">
        <v>3560</v>
      </c>
      <c r="I428" s="3066" t="s">
        <v>3560</v>
      </c>
      <c r="J428" s="3066" t="s">
        <v>3560</v>
      </c>
      <c r="K428" s="3066" t="s">
        <v>3560</v>
      </c>
      <c r="L428" s="3066" t="s">
        <v>3560</v>
      </c>
      <c r="M428" s="3066" t="s">
        <v>5057</v>
      </c>
      <c r="N428" s="3066">
        <v>0</v>
      </c>
      <c r="O428" s="3066" t="s">
        <v>3560</v>
      </c>
      <c r="P428" s="3066" t="s">
        <v>3560</v>
      </c>
      <c r="Q428" s="3066">
        <v>0</v>
      </c>
      <c r="R428" s="3066">
        <v>0</v>
      </c>
      <c r="S428" s="3066" t="s">
        <v>3577</v>
      </c>
      <c r="T428" s="3066">
        <v>0</v>
      </c>
      <c r="U428" s="3066">
        <v>0</v>
      </c>
      <c r="V428" s="3066" t="s">
        <v>3560</v>
      </c>
      <c r="W428" s="3066" t="s">
        <v>3568</v>
      </c>
      <c r="X428" s="3066">
        <v>0</v>
      </c>
      <c r="Y428" s="3066">
        <v>0</v>
      </c>
      <c r="Z428" s="3066" t="s">
        <v>3568</v>
      </c>
      <c r="AA428" s="3066" t="s">
        <v>3560</v>
      </c>
      <c r="AB428" s="3066" t="s">
        <v>3560</v>
      </c>
      <c r="AC428" s="3066" t="s">
        <v>3560</v>
      </c>
      <c r="AD428" s="3066" t="s">
        <v>3560</v>
      </c>
      <c r="AE428" s="3066" t="s">
        <v>3560</v>
      </c>
      <c r="AF428" s="3067">
        <v>0</v>
      </c>
      <c r="AG428" s="3066">
        <v>0</v>
      </c>
      <c r="AH428" s="3066">
        <v>0</v>
      </c>
      <c r="AI428" s="3066">
        <v>0</v>
      </c>
      <c r="AJ428" s="3066">
        <v>0</v>
      </c>
      <c r="AK428" s="3066">
        <v>0</v>
      </c>
      <c r="AL428" s="3066">
        <v>0</v>
      </c>
      <c r="AM428" s="3066">
        <v>0</v>
      </c>
      <c r="AN428" s="3066" t="s">
        <v>3560</v>
      </c>
      <c r="AP428" s="3068" t="e">
        <f t="shared" si="6"/>
        <v>#DIV/0!</v>
      </c>
    </row>
    <row r="429" spans="2:42" ht="27" customHeight="1">
      <c r="B429" s="3066">
        <v>437</v>
      </c>
      <c r="C429" s="3066" t="s">
        <v>3167</v>
      </c>
      <c r="D429" s="3066" t="s">
        <v>4003</v>
      </c>
      <c r="E429" s="3066" t="s">
        <v>5058</v>
      </c>
      <c r="F429" s="3066" t="s">
        <v>3917</v>
      </c>
      <c r="G429" s="3066" t="s">
        <v>3560</v>
      </c>
      <c r="H429" s="3066" t="s">
        <v>3560</v>
      </c>
      <c r="I429" s="3066" t="s">
        <v>3560</v>
      </c>
      <c r="J429" s="3066" t="s">
        <v>3560</v>
      </c>
      <c r="K429" s="3066" t="s">
        <v>3560</v>
      </c>
      <c r="L429" s="3066" t="s">
        <v>3560</v>
      </c>
      <c r="M429" s="3066" t="s">
        <v>5059</v>
      </c>
      <c r="N429" s="3066">
        <v>0</v>
      </c>
      <c r="O429" s="3066" t="s">
        <v>3560</v>
      </c>
      <c r="P429" s="3066" t="s">
        <v>3560</v>
      </c>
      <c r="Q429" s="3066">
        <v>0</v>
      </c>
      <c r="R429" s="3066">
        <v>0</v>
      </c>
      <c r="S429" s="3066" t="s">
        <v>3577</v>
      </c>
      <c r="T429" s="3066">
        <v>0</v>
      </c>
      <c r="U429" s="3066">
        <v>0</v>
      </c>
      <c r="V429" s="3066" t="s">
        <v>3560</v>
      </c>
      <c r="W429" s="3066" t="s">
        <v>3568</v>
      </c>
      <c r="X429" s="3066">
        <v>0</v>
      </c>
      <c r="Y429" s="3066">
        <v>0</v>
      </c>
      <c r="Z429" s="3066" t="s">
        <v>3568</v>
      </c>
      <c r="AA429" s="3066" t="s">
        <v>3560</v>
      </c>
      <c r="AB429" s="3066" t="s">
        <v>3560</v>
      </c>
      <c r="AC429" s="3066" t="s">
        <v>3560</v>
      </c>
      <c r="AD429" s="3066" t="s">
        <v>3560</v>
      </c>
      <c r="AE429" s="3066" t="s">
        <v>3560</v>
      </c>
      <c r="AF429" s="3067">
        <v>0</v>
      </c>
      <c r="AG429" s="3066">
        <v>0</v>
      </c>
      <c r="AH429" s="3066">
        <v>0</v>
      </c>
      <c r="AI429" s="3066">
        <v>0</v>
      </c>
      <c r="AJ429" s="3066">
        <v>0</v>
      </c>
      <c r="AK429" s="3066">
        <v>0</v>
      </c>
      <c r="AL429" s="3066">
        <v>0</v>
      </c>
      <c r="AM429" s="3066">
        <v>0</v>
      </c>
      <c r="AN429" s="3066" t="s">
        <v>3560</v>
      </c>
      <c r="AP429" s="3068" t="e">
        <f t="shared" si="6"/>
        <v>#DIV/0!</v>
      </c>
    </row>
    <row r="430" spans="2:42" ht="27" customHeight="1">
      <c r="B430" s="3066">
        <v>438</v>
      </c>
      <c r="C430" s="3066" t="s">
        <v>3167</v>
      </c>
      <c r="D430" s="3066" t="s">
        <v>4003</v>
      </c>
      <c r="E430" s="3066" t="s">
        <v>5060</v>
      </c>
      <c r="F430" s="3066" t="s">
        <v>3917</v>
      </c>
      <c r="G430" s="3066" t="s">
        <v>3560</v>
      </c>
      <c r="H430" s="3066" t="s">
        <v>3560</v>
      </c>
      <c r="I430" s="3066" t="s">
        <v>3560</v>
      </c>
      <c r="J430" s="3066" t="s">
        <v>3560</v>
      </c>
      <c r="K430" s="3066" t="s">
        <v>3560</v>
      </c>
      <c r="L430" s="3066" t="s">
        <v>3560</v>
      </c>
      <c r="M430" s="3066" t="s">
        <v>5061</v>
      </c>
      <c r="N430" s="3066">
        <v>0</v>
      </c>
      <c r="O430" s="3066" t="s">
        <v>3560</v>
      </c>
      <c r="P430" s="3066" t="s">
        <v>3560</v>
      </c>
      <c r="Q430" s="3066">
        <v>0</v>
      </c>
      <c r="R430" s="3066">
        <v>0</v>
      </c>
      <c r="S430" s="3066" t="s">
        <v>3577</v>
      </c>
      <c r="T430" s="3066">
        <v>0</v>
      </c>
      <c r="U430" s="3066">
        <v>0</v>
      </c>
      <c r="V430" s="3066" t="s">
        <v>3560</v>
      </c>
      <c r="W430" s="3066" t="s">
        <v>3568</v>
      </c>
      <c r="X430" s="3066">
        <v>0</v>
      </c>
      <c r="Y430" s="3066">
        <v>0</v>
      </c>
      <c r="Z430" s="3066" t="s">
        <v>3568</v>
      </c>
      <c r="AA430" s="3066" t="s">
        <v>3560</v>
      </c>
      <c r="AB430" s="3066" t="s">
        <v>3560</v>
      </c>
      <c r="AC430" s="3066" t="s">
        <v>3560</v>
      </c>
      <c r="AD430" s="3066" t="s">
        <v>3560</v>
      </c>
      <c r="AE430" s="3066" t="s">
        <v>3560</v>
      </c>
      <c r="AF430" s="3067">
        <v>0</v>
      </c>
      <c r="AG430" s="3066">
        <v>0</v>
      </c>
      <c r="AH430" s="3066">
        <v>0</v>
      </c>
      <c r="AI430" s="3066">
        <v>0</v>
      </c>
      <c r="AJ430" s="3066">
        <v>0</v>
      </c>
      <c r="AK430" s="3066">
        <v>0</v>
      </c>
      <c r="AL430" s="3066">
        <v>0</v>
      </c>
      <c r="AM430" s="3066">
        <v>0</v>
      </c>
      <c r="AN430" s="3066" t="s">
        <v>3560</v>
      </c>
      <c r="AP430" s="3068" t="e">
        <f t="shared" si="6"/>
        <v>#DIV/0!</v>
      </c>
    </row>
    <row r="431" spans="2:42" ht="27" customHeight="1">
      <c r="B431" s="3066">
        <v>439</v>
      </c>
      <c r="C431" s="3066" t="s">
        <v>3167</v>
      </c>
      <c r="D431" s="3066" t="s">
        <v>3901</v>
      </c>
      <c r="E431" s="3066" t="s">
        <v>5062</v>
      </c>
      <c r="F431" s="3066" t="s">
        <v>3917</v>
      </c>
      <c r="G431" s="3066" t="s">
        <v>3560</v>
      </c>
      <c r="H431" s="3066" t="s">
        <v>3560</v>
      </c>
      <c r="I431" s="3066" t="s">
        <v>3560</v>
      </c>
      <c r="J431" s="3066" t="s">
        <v>3560</v>
      </c>
      <c r="K431" s="3066" t="s">
        <v>3560</v>
      </c>
      <c r="L431" s="3066" t="s">
        <v>3560</v>
      </c>
      <c r="M431" s="3066" t="s">
        <v>5063</v>
      </c>
      <c r="N431" s="3066">
        <v>0</v>
      </c>
      <c r="O431" s="3066" t="s">
        <v>3560</v>
      </c>
      <c r="P431" s="3066" t="s">
        <v>3560</v>
      </c>
      <c r="Q431" s="3066">
        <v>0</v>
      </c>
      <c r="R431" s="3066">
        <v>0</v>
      </c>
      <c r="S431" s="3066" t="s">
        <v>3577</v>
      </c>
      <c r="T431" s="3066">
        <v>0</v>
      </c>
      <c r="U431" s="3066">
        <v>0</v>
      </c>
      <c r="V431" s="3066" t="s">
        <v>3560</v>
      </c>
      <c r="W431" s="3066" t="s">
        <v>3568</v>
      </c>
      <c r="X431" s="3066">
        <v>0</v>
      </c>
      <c r="Y431" s="3066">
        <v>0</v>
      </c>
      <c r="Z431" s="3066" t="s">
        <v>3568</v>
      </c>
      <c r="AA431" s="3066" t="s">
        <v>3560</v>
      </c>
      <c r="AB431" s="3066" t="s">
        <v>3560</v>
      </c>
      <c r="AC431" s="3066" t="s">
        <v>3560</v>
      </c>
      <c r="AD431" s="3066" t="s">
        <v>3560</v>
      </c>
      <c r="AE431" s="3066" t="s">
        <v>3560</v>
      </c>
      <c r="AF431" s="3067">
        <v>0</v>
      </c>
      <c r="AG431" s="3066">
        <v>0</v>
      </c>
      <c r="AH431" s="3066">
        <v>0</v>
      </c>
      <c r="AI431" s="3066">
        <v>0</v>
      </c>
      <c r="AJ431" s="3066">
        <v>0</v>
      </c>
      <c r="AK431" s="3066">
        <v>0</v>
      </c>
      <c r="AL431" s="3066">
        <v>0</v>
      </c>
      <c r="AM431" s="3066">
        <v>0</v>
      </c>
      <c r="AN431" s="3066" t="s">
        <v>3560</v>
      </c>
      <c r="AP431" s="3068" t="e">
        <f t="shared" si="6"/>
        <v>#DIV/0!</v>
      </c>
    </row>
    <row r="432" spans="2:42" ht="27" customHeight="1">
      <c r="B432" s="3066">
        <v>440</v>
      </c>
      <c r="C432" s="3066" t="s">
        <v>3167</v>
      </c>
      <c r="D432" s="3066" t="s">
        <v>4019</v>
      </c>
      <c r="E432" s="3066" t="s">
        <v>5064</v>
      </c>
      <c r="F432" s="3066" t="s">
        <v>3917</v>
      </c>
      <c r="G432" s="3066" t="s">
        <v>3560</v>
      </c>
      <c r="H432" s="3066" t="s">
        <v>3560</v>
      </c>
      <c r="I432" s="3066" t="s">
        <v>3560</v>
      </c>
      <c r="J432" s="3066" t="s">
        <v>3560</v>
      </c>
      <c r="K432" s="3066" t="s">
        <v>3560</v>
      </c>
      <c r="L432" s="3066" t="s">
        <v>3560</v>
      </c>
      <c r="M432" s="3066" t="s">
        <v>5065</v>
      </c>
      <c r="N432" s="3066">
        <v>40.299999999999997</v>
      </c>
      <c r="O432" s="3066" t="s">
        <v>3560</v>
      </c>
      <c r="P432" s="3066" t="s">
        <v>3560</v>
      </c>
      <c r="Q432" s="3066">
        <v>0</v>
      </c>
      <c r="R432" s="3066">
        <v>0</v>
      </c>
      <c r="S432" s="3066" t="s">
        <v>3577</v>
      </c>
      <c r="T432" s="3066">
        <v>0</v>
      </c>
      <c r="U432" s="3066">
        <v>0</v>
      </c>
      <c r="V432" s="3066" t="s">
        <v>3560</v>
      </c>
      <c r="W432" s="3066" t="s">
        <v>3568</v>
      </c>
      <c r="X432" s="3066">
        <v>0</v>
      </c>
      <c r="Y432" s="3066">
        <v>0</v>
      </c>
      <c r="Z432" s="3066" t="s">
        <v>3568</v>
      </c>
      <c r="AA432" s="3066" t="s">
        <v>3560</v>
      </c>
      <c r="AB432" s="3066" t="s">
        <v>3560</v>
      </c>
      <c r="AC432" s="3066" t="s">
        <v>3560</v>
      </c>
      <c r="AD432" s="3066" t="s">
        <v>3560</v>
      </c>
      <c r="AE432" s="3066" t="s">
        <v>3560</v>
      </c>
      <c r="AF432" s="3067">
        <v>0</v>
      </c>
      <c r="AG432" s="3066">
        <v>0</v>
      </c>
      <c r="AH432" s="3066">
        <v>0</v>
      </c>
      <c r="AI432" s="3066">
        <v>0</v>
      </c>
      <c r="AJ432" s="3066">
        <v>0</v>
      </c>
      <c r="AK432" s="3066">
        <v>0</v>
      </c>
      <c r="AL432" s="3066">
        <v>0</v>
      </c>
      <c r="AM432" s="3066">
        <v>0</v>
      </c>
      <c r="AN432" s="3066" t="s">
        <v>3560</v>
      </c>
      <c r="AP432" s="3068">
        <f t="shared" si="6"/>
        <v>0</v>
      </c>
    </row>
    <row r="433" spans="2:42" ht="27" customHeight="1">
      <c r="B433" s="3066">
        <v>441</v>
      </c>
      <c r="C433" s="3066" t="s">
        <v>3167</v>
      </c>
      <c r="D433" s="3066" t="s">
        <v>4019</v>
      </c>
      <c r="E433" s="3066" t="s">
        <v>5066</v>
      </c>
      <c r="F433" s="3066" t="s">
        <v>3917</v>
      </c>
      <c r="G433" s="3066" t="s">
        <v>3560</v>
      </c>
      <c r="H433" s="3066" t="s">
        <v>3560</v>
      </c>
      <c r="I433" s="3066" t="s">
        <v>3560</v>
      </c>
      <c r="J433" s="3066" t="s">
        <v>3560</v>
      </c>
      <c r="K433" s="3066" t="s">
        <v>3560</v>
      </c>
      <c r="L433" s="3066" t="s">
        <v>3560</v>
      </c>
      <c r="M433" s="3066" t="s">
        <v>5067</v>
      </c>
      <c r="N433" s="3066">
        <v>40.299999999999997</v>
      </c>
      <c r="O433" s="3066" t="s">
        <v>3560</v>
      </c>
      <c r="P433" s="3066" t="s">
        <v>3560</v>
      </c>
      <c r="Q433" s="3066">
        <v>0</v>
      </c>
      <c r="R433" s="3066">
        <v>0</v>
      </c>
      <c r="S433" s="3066" t="s">
        <v>3577</v>
      </c>
      <c r="T433" s="3066">
        <v>0</v>
      </c>
      <c r="U433" s="3066">
        <v>0</v>
      </c>
      <c r="V433" s="3066" t="s">
        <v>3560</v>
      </c>
      <c r="W433" s="3066" t="s">
        <v>3568</v>
      </c>
      <c r="X433" s="3066">
        <v>0</v>
      </c>
      <c r="Y433" s="3066">
        <v>0</v>
      </c>
      <c r="Z433" s="3066" t="s">
        <v>3568</v>
      </c>
      <c r="AA433" s="3066" t="s">
        <v>3560</v>
      </c>
      <c r="AB433" s="3066" t="s">
        <v>3560</v>
      </c>
      <c r="AC433" s="3066" t="s">
        <v>3560</v>
      </c>
      <c r="AD433" s="3066" t="s">
        <v>3560</v>
      </c>
      <c r="AE433" s="3066" t="s">
        <v>3560</v>
      </c>
      <c r="AF433" s="3067">
        <v>0</v>
      </c>
      <c r="AG433" s="3066">
        <v>0</v>
      </c>
      <c r="AH433" s="3066">
        <v>0</v>
      </c>
      <c r="AI433" s="3066">
        <v>0</v>
      </c>
      <c r="AJ433" s="3066">
        <v>0</v>
      </c>
      <c r="AK433" s="3066">
        <v>0</v>
      </c>
      <c r="AL433" s="3066">
        <v>0</v>
      </c>
      <c r="AM433" s="3066">
        <v>0</v>
      </c>
      <c r="AN433" s="3066" t="s">
        <v>3560</v>
      </c>
      <c r="AP433" s="3068">
        <f t="shared" si="6"/>
        <v>0</v>
      </c>
    </row>
    <row r="434" spans="2:42" ht="27" customHeight="1">
      <c r="B434" s="3066">
        <v>442</v>
      </c>
      <c r="C434" s="3066" t="s">
        <v>3167</v>
      </c>
      <c r="D434" s="3066" t="s">
        <v>4019</v>
      </c>
      <c r="E434" s="3066" t="s">
        <v>5068</v>
      </c>
      <c r="F434" s="3066" t="s">
        <v>3917</v>
      </c>
      <c r="G434" s="3066" t="s">
        <v>3560</v>
      </c>
      <c r="H434" s="3066" t="s">
        <v>3560</v>
      </c>
      <c r="I434" s="3066" t="s">
        <v>3560</v>
      </c>
      <c r="J434" s="3066" t="s">
        <v>3560</v>
      </c>
      <c r="K434" s="3066" t="s">
        <v>3560</v>
      </c>
      <c r="L434" s="3066" t="s">
        <v>3560</v>
      </c>
      <c r="M434" s="3066" t="s">
        <v>5069</v>
      </c>
      <c r="N434" s="3066">
        <v>40.299999999999997</v>
      </c>
      <c r="O434" s="3066" t="s">
        <v>3560</v>
      </c>
      <c r="P434" s="3066" t="s">
        <v>3560</v>
      </c>
      <c r="Q434" s="3066">
        <v>0</v>
      </c>
      <c r="R434" s="3066">
        <v>0</v>
      </c>
      <c r="S434" s="3066" t="s">
        <v>3577</v>
      </c>
      <c r="T434" s="3066">
        <v>0</v>
      </c>
      <c r="U434" s="3066">
        <v>0</v>
      </c>
      <c r="V434" s="3066" t="s">
        <v>3560</v>
      </c>
      <c r="W434" s="3066" t="s">
        <v>3568</v>
      </c>
      <c r="X434" s="3066">
        <v>0</v>
      </c>
      <c r="Y434" s="3066">
        <v>0</v>
      </c>
      <c r="Z434" s="3066" t="s">
        <v>3568</v>
      </c>
      <c r="AA434" s="3066" t="s">
        <v>3560</v>
      </c>
      <c r="AB434" s="3066" t="s">
        <v>3560</v>
      </c>
      <c r="AC434" s="3066" t="s">
        <v>3560</v>
      </c>
      <c r="AD434" s="3066" t="s">
        <v>3560</v>
      </c>
      <c r="AE434" s="3066" t="s">
        <v>3560</v>
      </c>
      <c r="AF434" s="3067">
        <v>0</v>
      </c>
      <c r="AG434" s="3066">
        <v>0</v>
      </c>
      <c r="AH434" s="3066">
        <v>0</v>
      </c>
      <c r="AI434" s="3066">
        <v>0</v>
      </c>
      <c r="AJ434" s="3066">
        <v>0</v>
      </c>
      <c r="AK434" s="3066">
        <v>0</v>
      </c>
      <c r="AL434" s="3066">
        <v>0</v>
      </c>
      <c r="AM434" s="3066">
        <v>0</v>
      </c>
      <c r="AN434" s="3066" t="s">
        <v>3560</v>
      </c>
      <c r="AP434" s="3068">
        <f t="shared" si="6"/>
        <v>0</v>
      </c>
    </row>
    <row r="435" spans="2:42" ht="27" customHeight="1">
      <c r="B435" s="3066">
        <v>443</v>
      </c>
      <c r="C435" s="3066" t="s">
        <v>3167</v>
      </c>
      <c r="D435" s="3066" t="s">
        <v>4019</v>
      </c>
      <c r="E435" s="3066" t="s">
        <v>5070</v>
      </c>
      <c r="F435" s="3066" t="s">
        <v>3917</v>
      </c>
      <c r="G435" s="3066" t="s">
        <v>3560</v>
      </c>
      <c r="H435" s="3066" t="s">
        <v>3560</v>
      </c>
      <c r="I435" s="3066" t="s">
        <v>3560</v>
      </c>
      <c r="J435" s="3066" t="s">
        <v>3560</v>
      </c>
      <c r="K435" s="3066" t="s">
        <v>3560</v>
      </c>
      <c r="L435" s="3066" t="s">
        <v>3560</v>
      </c>
      <c r="M435" s="3066" t="s">
        <v>5071</v>
      </c>
      <c r="N435" s="3066">
        <v>40.4</v>
      </c>
      <c r="O435" s="3066" t="s">
        <v>3560</v>
      </c>
      <c r="P435" s="3066" t="s">
        <v>3560</v>
      </c>
      <c r="Q435" s="3066">
        <v>0</v>
      </c>
      <c r="R435" s="3066">
        <v>0</v>
      </c>
      <c r="S435" s="3066" t="s">
        <v>3577</v>
      </c>
      <c r="T435" s="3066">
        <v>0</v>
      </c>
      <c r="U435" s="3066">
        <v>0</v>
      </c>
      <c r="V435" s="3066" t="s">
        <v>3560</v>
      </c>
      <c r="W435" s="3066" t="s">
        <v>3568</v>
      </c>
      <c r="X435" s="3066">
        <v>0</v>
      </c>
      <c r="Y435" s="3066">
        <v>0</v>
      </c>
      <c r="Z435" s="3066" t="s">
        <v>3568</v>
      </c>
      <c r="AA435" s="3066" t="s">
        <v>3560</v>
      </c>
      <c r="AB435" s="3066" t="s">
        <v>3560</v>
      </c>
      <c r="AC435" s="3066" t="s">
        <v>3560</v>
      </c>
      <c r="AD435" s="3066" t="s">
        <v>3560</v>
      </c>
      <c r="AE435" s="3066" t="s">
        <v>3560</v>
      </c>
      <c r="AF435" s="3067">
        <v>0</v>
      </c>
      <c r="AG435" s="3066">
        <v>0</v>
      </c>
      <c r="AH435" s="3066">
        <v>0</v>
      </c>
      <c r="AI435" s="3066">
        <v>0</v>
      </c>
      <c r="AJ435" s="3066">
        <v>0</v>
      </c>
      <c r="AK435" s="3066">
        <v>0</v>
      </c>
      <c r="AL435" s="3066">
        <v>0</v>
      </c>
      <c r="AM435" s="3066">
        <v>0</v>
      </c>
      <c r="AN435" s="3066" t="s">
        <v>3560</v>
      </c>
      <c r="AP435" s="3068">
        <f t="shared" si="6"/>
        <v>0</v>
      </c>
    </row>
    <row r="436" spans="2:42" ht="27" customHeight="1">
      <c r="B436" s="3066">
        <v>444</v>
      </c>
      <c r="C436" s="3066" t="s">
        <v>3167</v>
      </c>
      <c r="D436" s="3066" t="s">
        <v>4019</v>
      </c>
      <c r="E436" s="3066" t="s">
        <v>5072</v>
      </c>
      <c r="F436" s="3066" t="s">
        <v>3917</v>
      </c>
      <c r="G436" s="3066" t="s">
        <v>3560</v>
      </c>
      <c r="H436" s="3066" t="s">
        <v>3560</v>
      </c>
      <c r="I436" s="3066" t="s">
        <v>3560</v>
      </c>
      <c r="J436" s="3066" t="s">
        <v>3560</v>
      </c>
      <c r="K436" s="3066" t="s">
        <v>3560</v>
      </c>
      <c r="L436" s="3066" t="s">
        <v>3560</v>
      </c>
      <c r="M436" s="3066" t="s">
        <v>5073</v>
      </c>
      <c r="N436" s="3066">
        <v>40.299999999999997</v>
      </c>
      <c r="O436" s="3066" t="s">
        <v>3560</v>
      </c>
      <c r="P436" s="3066" t="s">
        <v>3560</v>
      </c>
      <c r="Q436" s="3066">
        <v>0</v>
      </c>
      <c r="R436" s="3066">
        <v>0</v>
      </c>
      <c r="S436" s="3066" t="s">
        <v>3577</v>
      </c>
      <c r="T436" s="3066">
        <v>0</v>
      </c>
      <c r="U436" s="3066">
        <v>0</v>
      </c>
      <c r="V436" s="3066" t="s">
        <v>3560</v>
      </c>
      <c r="W436" s="3066" t="s">
        <v>3568</v>
      </c>
      <c r="X436" s="3066">
        <v>0</v>
      </c>
      <c r="Y436" s="3066">
        <v>0</v>
      </c>
      <c r="Z436" s="3066" t="s">
        <v>3568</v>
      </c>
      <c r="AA436" s="3066" t="s">
        <v>3560</v>
      </c>
      <c r="AB436" s="3066" t="s">
        <v>3560</v>
      </c>
      <c r="AC436" s="3066" t="s">
        <v>3560</v>
      </c>
      <c r="AD436" s="3066" t="s">
        <v>3560</v>
      </c>
      <c r="AE436" s="3066" t="s">
        <v>3560</v>
      </c>
      <c r="AF436" s="3067">
        <v>0</v>
      </c>
      <c r="AG436" s="3066">
        <v>0</v>
      </c>
      <c r="AH436" s="3066">
        <v>0</v>
      </c>
      <c r="AI436" s="3066">
        <v>0</v>
      </c>
      <c r="AJ436" s="3066">
        <v>0</v>
      </c>
      <c r="AK436" s="3066">
        <v>0</v>
      </c>
      <c r="AL436" s="3066">
        <v>0</v>
      </c>
      <c r="AM436" s="3066">
        <v>0</v>
      </c>
      <c r="AN436" s="3066" t="s">
        <v>3560</v>
      </c>
      <c r="AP436" s="3068">
        <f t="shared" si="6"/>
        <v>0</v>
      </c>
    </row>
    <row r="437" spans="2:42" ht="27" customHeight="1">
      <c r="B437" s="3066">
        <v>445</v>
      </c>
      <c r="C437" s="3066" t="s">
        <v>3167</v>
      </c>
      <c r="D437" s="3066" t="s">
        <v>4019</v>
      </c>
      <c r="E437" s="3066" t="s">
        <v>5074</v>
      </c>
      <c r="F437" s="3066" t="s">
        <v>3917</v>
      </c>
      <c r="G437" s="3066" t="s">
        <v>3560</v>
      </c>
      <c r="H437" s="3066" t="s">
        <v>3560</v>
      </c>
      <c r="I437" s="3066" t="s">
        <v>3560</v>
      </c>
      <c r="J437" s="3066" t="s">
        <v>3560</v>
      </c>
      <c r="K437" s="3066" t="s">
        <v>3560</v>
      </c>
      <c r="L437" s="3066" t="s">
        <v>3560</v>
      </c>
      <c r="M437" s="3066" t="s">
        <v>5075</v>
      </c>
      <c r="N437" s="3066">
        <v>40.299999999999997</v>
      </c>
      <c r="O437" s="3066" t="s">
        <v>3560</v>
      </c>
      <c r="P437" s="3066" t="s">
        <v>3560</v>
      </c>
      <c r="Q437" s="3066">
        <v>0</v>
      </c>
      <c r="R437" s="3066">
        <v>0</v>
      </c>
      <c r="S437" s="3066" t="s">
        <v>3577</v>
      </c>
      <c r="T437" s="3066">
        <v>0</v>
      </c>
      <c r="U437" s="3066">
        <v>0</v>
      </c>
      <c r="V437" s="3066" t="s">
        <v>3560</v>
      </c>
      <c r="W437" s="3066" t="s">
        <v>3568</v>
      </c>
      <c r="X437" s="3066">
        <v>0</v>
      </c>
      <c r="Y437" s="3066">
        <v>0</v>
      </c>
      <c r="Z437" s="3066" t="s">
        <v>3568</v>
      </c>
      <c r="AA437" s="3066" t="s">
        <v>3560</v>
      </c>
      <c r="AB437" s="3066" t="s">
        <v>3560</v>
      </c>
      <c r="AC437" s="3066" t="s">
        <v>3560</v>
      </c>
      <c r="AD437" s="3066" t="s">
        <v>3560</v>
      </c>
      <c r="AE437" s="3066" t="s">
        <v>3560</v>
      </c>
      <c r="AF437" s="3067">
        <v>0</v>
      </c>
      <c r="AG437" s="3066">
        <v>0</v>
      </c>
      <c r="AH437" s="3066">
        <v>0</v>
      </c>
      <c r="AI437" s="3066">
        <v>0</v>
      </c>
      <c r="AJ437" s="3066">
        <v>0</v>
      </c>
      <c r="AK437" s="3066">
        <v>0</v>
      </c>
      <c r="AL437" s="3066">
        <v>0</v>
      </c>
      <c r="AM437" s="3066">
        <v>0</v>
      </c>
      <c r="AN437" s="3066" t="s">
        <v>3560</v>
      </c>
      <c r="AP437" s="3068">
        <f t="shared" si="6"/>
        <v>0</v>
      </c>
    </row>
    <row r="438" spans="2:42" ht="27" customHeight="1">
      <c r="B438" s="3066">
        <v>446</v>
      </c>
      <c r="C438" s="3066" t="s">
        <v>3167</v>
      </c>
      <c r="D438" s="3066" t="s">
        <v>4019</v>
      </c>
      <c r="E438" s="3066" t="s">
        <v>5076</v>
      </c>
      <c r="F438" s="3066" t="s">
        <v>3917</v>
      </c>
      <c r="G438" s="3066" t="s">
        <v>3560</v>
      </c>
      <c r="H438" s="3066" t="s">
        <v>3560</v>
      </c>
      <c r="I438" s="3066" t="s">
        <v>3560</v>
      </c>
      <c r="J438" s="3066" t="s">
        <v>3560</v>
      </c>
      <c r="K438" s="3066" t="s">
        <v>3560</v>
      </c>
      <c r="L438" s="3066" t="s">
        <v>3560</v>
      </c>
      <c r="M438" s="3066" t="s">
        <v>5077</v>
      </c>
      <c r="N438" s="3066">
        <v>40.299999999999997</v>
      </c>
      <c r="O438" s="3066" t="s">
        <v>3560</v>
      </c>
      <c r="P438" s="3066" t="s">
        <v>3560</v>
      </c>
      <c r="Q438" s="3066">
        <v>0</v>
      </c>
      <c r="R438" s="3066">
        <v>0</v>
      </c>
      <c r="S438" s="3066" t="s">
        <v>3577</v>
      </c>
      <c r="T438" s="3066">
        <v>0</v>
      </c>
      <c r="U438" s="3066">
        <v>0</v>
      </c>
      <c r="V438" s="3066" t="s">
        <v>3560</v>
      </c>
      <c r="W438" s="3066" t="s">
        <v>3568</v>
      </c>
      <c r="X438" s="3066">
        <v>0</v>
      </c>
      <c r="Y438" s="3066">
        <v>0</v>
      </c>
      <c r="Z438" s="3066" t="s">
        <v>3568</v>
      </c>
      <c r="AA438" s="3066" t="s">
        <v>3560</v>
      </c>
      <c r="AB438" s="3066" t="s">
        <v>3560</v>
      </c>
      <c r="AC438" s="3066" t="s">
        <v>3560</v>
      </c>
      <c r="AD438" s="3066" t="s">
        <v>3560</v>
      </c>
      <c r="AE438" s="3066" t="s">
        <v>3560</v>
      </c>
      <c r="AF438" s="3067">
        <v>0</v>
      </c>
      <c r="AG438" s="3066">
        <v>0</v>
      </c>
      <c r="AH438" s="3066">
        <v>0</v>
      </c>
      <c r="AI438" s="3066">
        <v>0</v>
      </c>
      <c r="AJ438" s="3066">
        <v>0</v>
      </c>
      <c r="AK438" s="3066">
        <v>0</v>
      </c>
      <c r="AL438" s="3066">
        <v>0</v>
      </c>
      <c r="AM438" s="3066">
        <v>0</v>
      </c>
      <c r="AN438" s="3066" t="s">
        <v>3560</v>
      </c>
      <c r="AP438" s="3068">
        <f t="shared" si="6"/>
        <v>0</v>
      </c>
    </row>
    <row r="439" spans="2:42" ht="27" customHeight="1">
      <c r="B439" s="3066">
        <v>447</v>
      </c>
      <c r="C439" s="3066" t="s">
        <v>3167</v>
      </c>
      <c r="D439" s="3066" t="s">
        <v>4019</v>
      </c>
      <c r="E439" s="3066" t="s">
        <v>5078</v>
      </c>
      <c r="F439" s="3066" t="s">
        <v>3917</v>
      </c>
      <c r="G439" s="3066" t="s">
        <v>3560</v>
      </c>
      <c r="H439" s="3066" t="s">
        <v>3560</v>
      </c>
      <c r="I439" s="3066" t="s">
        <v>3560</v>
      </c>
      <c r="J439" s="3066" t="s">
        <v>3560</v>
      </c>
      <c r="K439" s="3066" t="s">
        <v>3560</v>
      </c>
      <c r="L439" s="3066" t="s">
        <v>3560</v>
      </c>
      <c r="M439" s="3066" t="s">
        <v>5079</v>
      </c>
      <c r="N439" s="3066">
        <v>40.299999999999997</v>
      </c>
      <c r="O439" s="3066" t="s">
        <v>3560</v>
      </c>
      <c r="P439" s="3066" t="s">
        <v>3560</v>
      </c>
      <c r="Q439" s="3066">
        <v>0</v>
      </c>
      <c r="R439" s="3066">
        <v>0</v>
      </c>
      <c r="S439" s="3066" t="s">
        <v>3577</v>
      </c>
      <c r="T439" s="3066">
        <v>0</v>
      </c>
      <c r="U439" s="3066">
        <v>0</v>
      </c>
      <c r="V439" s="3066" t="s">
        <v>3560</v>
      </c>
      <c r="W439" s="3066" t="s">
        <v>3568</v>
      </c>
      <c r="X439" s="3066">
        <v>0</v>
      </c>
      <c r="Y439" s="3066">
        <v>0</v>
      </c>
      <c r="Z439" s="3066" t="s">
        <v>3568</v>
      </c>
      <c r="AA439" s="3066" t="s">
        <v>3560</v>
      </c>
      <c r="AB439" s="3066" t="s">
        <v>3560</v>
      </c>
      <c r="AC439" s="3066" t="s">
        <v>3560</v>
      </c>
      <c r="AD439" s="3066" t="s">
        <v>3560</v>
      </c>
      <c r="AE439" s="3066" t="s">
        <v>3560</v>
      </c>
      <c r="AF439" s="3067">
        <v>0</v>
      </c>
      <c r="AG439" s="3066">
        <v>0</v>
      </c>
      <c r="AH439" s="3066">
        <v>0</v>
      </c>
      <c r="AI439" s="3066">
        <v>0</v>
      </c>
      <c r="AJ439" s="3066">
        <v>0</v>
      </c>
      <c r="AK439" s="3066">
        <v>0</v>
      </c>
      <c r="AL439" s="3066">
        <v>0</v>
      </c>
      <c r="AM439" s="3066">
        <v>0</v>
      </c>
      <c r="AN439" s="3066" t="s">
        <v>3560</v>
      </c>
      <c r="AP439" s="3068">
        <f t="shared" si="6"/>
        <v>0</v>
      </c>
    </row>
    <row r="440" spans="2:42" ht="27" customHeight="1">
      <c r="B440" s="3066">
        <v>448</v>
      </c>
      <c r="C440" s="3066" t="s">
        <v>3167</v>
      </c>
      <c r="D440" s="3066" t="s">
        <v>4019</v>
      </c>
      <c r="E440" s="3066" t="s">
        <v>5080</v>
      </c>
      <c r="F440" s="3066" t="s">
        <v>3917</v>
      </c>
      <c r="G440" s="3066" t="s">
        <v>3560</v>
      </c>
      <c r="H440" s="3066" t="s">
        <v>3560</v>
      </c>
      <c r="I440" s="3066" t="s">
        <v>3560</v>
      </c>
      <c r="J440" s="3066" t="s">
        <v>3560</v>
      </c>
      <c r="K440" s="3066" t="s">
        <v>3560</v>
      </c>
      <c r="L440" s="3066" t="s">
        <v>3560</v>
      </c>
      <c r="M440" s="3066" t="s">
        <v>5081</v>
      </c>
      <c r="N440" s="3066">
        <v>40.299999999999997</v>
      </c>
      <c r="O440" s="3066" t="s">
        <v>3560</v>
      </c>
      <c r="P440" s="3066" t="s">
        <v>3560</v>
      </c>
      <c r="Q440" s="3066">
        <v>0</v>
      </c>
      <c r="R440" s="3066">
        <v>0</v>
      </c>
      <c r="S440" s="3066" t="s">
        <v>3577</v>
      </c>
      <c r="T440" s="3066">
        <v>0</v>
      </c>
      <c r="U440" s="3066">
        <v>0</v>
      </c>
      <c r="V440" s="3066" t="s">
        <v>3560</v>
      </c>
      <c r="W440" s="3066" t="s">
        <v>3568</v>
      </c>
      <c r="X440" s="3066">
        <v>0</v>
      </c>
      <c r="Y440" s="3066">
        <v>0</v>
      </c>
      <c r="Z440" s="3066" t="s">
        <v>3568</v>
      </c>
      <c r="AA440" s="3066" t="s">
        <v>3560</v>
      </c>
      <c r="AB440" s="3066" t="s">
        <v>3560</v>
      </c>
      <c r="AC440" s="3066" t="s">
        <v>3560</v>
      </c>
      <c r="AD440" s="3066" t="s">
        <v>3560</v>
      </c>
      <c r="AE440" s="3066" t="s">
        <v>3560</v>
      </c>
      <c r="AF440" s="3067">
        <v>0</v>
      </c>
      <c r="AG440" s="3066">
        <v>0</v>
      </c>
      <c r="AH440" s="3066">
        <v>0</v>
      </c>
      <c r="AI440" s="3066">
        <v>0</v>
      </c>
      <c r="AJ440" s="3066">
        <v>0</v>
      </c>
      <c r="AK440" s="3066">
        <v>0</v>
      </c>
      <c r="AL440" s="3066">
        <v>0</v>
      </c>
      <c r="AM440" s="3066">
        <v>0</v>
      </c>
      <c r="AN440" s="3066" t="s">
        <v>3560</v>
      </c>
      <c r="AP440" s="3068">
        <f t="shared" si="6"/>
        <v>0</v>
      </c>
    </row>
    <row r="441" spans="2:42" ht="27" customHeight="1">
      <c r="B441" s="3066">
        <v>449</v>
      </c>
      <c r="C441" s="3066" t="s">
        <v>3167</v>
      </c>
      <c r="D441" s="3066" t="s">
        <v>4019</v>
      </c>
      <c r="E441" s="3066" t="s">
        <v>5082</v>
      </c>
      <c r="F441" s="3066" t="s">
        <v>3917</v>
      </c>
      <c r="G441" s="3066" t="s">
        <v>3560</v>
      </c>
      <c r="H441" s="3066" t="s">
        <v>3560</v>
      </c>
      <c r="I441" s="3066" t="s">
        <v>3560</v>
      </c>
      <c r="J441" s="3066" t="s">
        <v>3560</v>
      </c>
      <c r="K441" s="3066" t="s">
        <v>3560</v>
      </c>
      <c r="L441" s="3066" t="s">
        <v>3560</v>
      </c>
      <c r="M441" s="3066" t="s">
        <v>5083</v>
      </c>
      <c r="N441" s="3066">
        <v>40.299999999999997</v>
      </c>
      <c r="O441" s="3066" t="s">
        <v>3560</v>
      </c>
      <c r="P441" s="3066" t="s">
        <v>3560</v>
      </c>
      <c r="Q441" s="3066">
        <v>0</v>
      </c>
      <c r="R441" s="3066">
        <v>0</v>
      </c>
      <c r="S441" s="3066" t="s">
        <v>3577</v>
      </c>
      <c r="T441" s="3066">
        <v>0</v>
      </c>
      <c r="U441" s="3066">
        <v>0</v>
      </c>
      <c r="V441" s="3066" t="s">
        <v>3560</v>
      </c>
      <c r="W441" s="3066" t="s">
        <v>3568</v>
      </c>
      <c r="X441" s="3066">
        <v>0</v>
      </c>
      <c r="Y441" s="3066">
        <v>0</v>
      </c>
      <c r="Z441" s="3066" t="s">
        <v>3568</v>
      </c>
      <c r="AA441" s="3066" t="s">
        <v>3560</v>
      </c>
      <c r="AB441" s="3066" t="s">
        <v>3560</v>
      </c>
      <c r="AC441" s="3066" t="s">
        <v>3560</v>
      </c>
      <c r="AD441" s="3066" t="s">
        <v>3560</v>
      </c>
      <c r="AE441" s="3066" t="s">
        <v>3560</v>
      </c>
      <c r="AF441" s="3067">
        <v>0</v>
      </c>
      <c r="AG441" s="3066">
        <v>0</v>
      </c>
      <c r="AH441" s="3066">
        <v>0</v>
      </c>
      <c r="AI441" s="3066">
        <v>0</v>
      </c>
      <c r="AJ441" s="3066">
        <v>0</v>
      </c>
      <c r="AK441" s="3066">
        <v>0</v>
      </c>
      <c r="AL441" s="3066">
        <v>0</v>
      </c>
      <c r="AM441" s="3066">
        <v>0</v>
      </c>
      <c r="AN441" s="3066" t="s">
        <v>3560</v>
      </c>
      <c r="AP441" s="3068">
        <f t="shared" si="6"/>
        <v>0</v>
      </c>
    </row>
    <row r="442" spans="2:42" ht="27" customHeight="1">
      <c r="B442" s="3066">
        <v>450</v>
      </c>
      <c r="C442" s="3066" t="s">
        <v>3167</v>
      </c>
      <c r="D442" s="3066" t="s">
        <v>4019</v>
      </c>
      <c r="E442" s="3066" t="s">
        <v>5084</v>
      </c>
      <c r="F442" s="3066" t="s">
        <v>3917</v>
      </c>
      <c r="G442" s="3066" t="s">
        <v>3560</v>
      </c>
      <c r="H442" s="3066" t="s">
        <v>3560</v>
      </c>
      <c r="I442" s="3066" t="s">
        <v>3560</v>
      </c>
      <c r="J442" s="3066" t="s">
        <v>3560</v>
      </c>
      <c r="K442" s="3066" t="s">
        <v>3560</v>
      </c>
      <c r="L442" s="3066" t="s">
        <v>3560</v>
      </c>
      <c r="M442" s="3066" t="s">
        <v>5085</v>
      </c>
      <c r="N442" s="3066">
        <v>40.299999999999997</v>
      </c>
      <c r="O442" s="3066" t="s">
        <v>3560</v>
      </c>
      <c r="P442" s="3066" t="s">
        <v>3560</v>
      </c>
      <c r="Q442" s="3066">
        <v>0</v>
      </c>
      <c r="R442" s="3066">
        <v>0</v>
      </c>
      <c r="S442" s="3066" t="s">
        <v>3577</v>
      </c>
      <c r="T442" s="3066">
        <v>0</v>
      </c>
      <c r="U442" s="3066">
        <v>0</v>
      </c>
      <c r="V442" s="3066" t="s">
        <v>3560</v>
      </c>
      <c r="W442" s="3066" t="s">
        <v>3568</v>
      </c>
      <c r="X442" s="3066">
        <v>0</v>
      </c>
      <c r="Y442" s="3066">
        <v>0</v>
      </c>
      <c r="Z442" s="3066" t="s">
        <v>3568</v>
      </c>
      <c r="AA442" s="3066" t="s">
        <v>3560</v>
      </c>
      <c r="AB442" s="3066" t="s">
        <v>3560</v>
      </c>
      <c r="AC442" s="3066" t="s">
        <v>3560</v>
      </c>
      <c r="AD442" s="3066" t="s">
        <v>3560</v>
      </c>
      <c r="AE442" s="3066" t="s">
        <v>3560</v>
      </c>
      <c r="AF442" s="3067">
        <v>0</v>
      </c>
      <c r="AG442" s="3066">
        <v>0</v>
      </c>
      <c r="AH442" s="3066">
        <v>0</v>
      </c>
      <c r="AI442" s="3066">
        <v>0</v>
      </c>
      <c r="AJ442" s="3066">
        <v>0</v>
      </c>
      <c r="AK442" s="3066">
        <v>0</v>
      </c>
      <c r="AL442" s="3066">
        <v>0</v>
      </c>
      <c r="AM442" s="3066">
        <v>0</v>
      </c>
      <c r="AN442" s="3066" t="s">
        <v>3560</v>
      </c>
      <c r="AP442" s="3068">
        <f t="shared" si="6"/>
        <v>0</v>
      </c>
    </row>
    <row r="443" spans="2:42" ht="27" customHeight="1">
      <c r="B443" s="3066">
        <v>451</v>
      </c>
      <c r="C443" s="3066" t="s">
        <v>3167</v>
      </c>
      <c r="D443" s="3066" t="s">
        <v>4019</v>
      </c>
      <c r="E443" s="3066" t="s">
        <v>5086</v>
      </c>
      <c r="F443" s="3066" t="s">
        <v>3917</v>
      </c>
      <c r="G443" s="3066" t="s">
        <v>3560</v>
      </c>
      <c r="H443" s="3066" t="s">
        <v>3560</v>
      </c>
      <c r="I443" s="3066" t="s">
        <v>3560</v>
      </c>
      <c r="J443" s="3066" t="s">
        <v>3560</v>
      </c>
      <c r="K443" s="3066" t="s">
        <v>3560</v>
      </c>
      <c r="L443" s="3066" t="s">
        <v>3560</v>
      </c>
      <c r="M443" s="3066" t="s">
        <v>5087</v>
      </c>
      <c r="N443" s="3066">
        <v>46.3</v>
      </c>
      <c r="O443" s="3066" t="s">
        <v>3560</v>
      </c>
      <c r="P443" s="3066" t="s">
        <v>3560</v>
      </c>
      <c r="Q443" s="3066">
        <v>0</v>
      </c>
      <c r="R443" s="3066">
        <v>0</v>
      </c>
      <c r="S443" s="3066" t="s">
        <v>3577</v>
      </c>
      <c r="T443" s="3066">
        <v>0</v>
      </c>
      <c r="U443" s="3066">
        <v>0</v>
      </c>
      <c r="V443" s="3066" t="s">
        <v>3560</v>
      </c>
      <c r="W443" s="3066" t="s">
        <v>3568</v>
      </c>
      <c r="X443" s="3066">
        <v>0</v>
      </c>
      <c r="Y443" s="3066">
        <v>0</v>
      </c>
      <c r="Z443" s="3066" t="s">
        <v>3568</v>
      </c>
      <c r="AA443" s="3066" t="s">
        <v>3560</v>
      </c>
      <c r="AB443" s="3066" t="s">
        <v>3560</v>
      </c>
      <c r="AC443" s="3066" t="s">
        <v>3560</v>
      </c>
      <c r="AD443" s="3066" t="s">
        <v>3560</v>
      </c>
      <c r="AE443" s="3066" t="s">
        <v>3560</v>
      </c>
      <c r="AF443" s="3067">
        <v>0</v>
      </c>
      <c r="AG443" s="3066">
        <v>0</v>
      </c>
      <c r="AH443" s="3066">
        <v>0</v>
      </c>
      <c r="AI443" s="3066">
        <v>0</v>
      </c>
      <c r="AJ443" s="3066">
        <v>0</v>
      </c>
      <c r="AK443" s="3066">
        <v>0</v>
      </c>
      <c r="AL443" s="3066">
        <v>0</v>
      </c>
      <c r="AM443" s="3066">
        <v>0</v>
      </c>
      <c r="AN443" s="3066" t="s">
        <v>3560</v>
      </c>
      <c r="AP443" s="3068">
        <f t="shared" si="6"/>
        <v>0</v>
      </c>
    </row>
    <row r="444" spans="2:42" ht="27" customHeight="1">
      <c r="B444" s="3066">
        <v>452</v>
      </c>
      <c r="C444" s="3066" t="s">
        <v>3167</v>
      </c>
      <c r="D444" s="3066" t="s">
        <v>3915</v>
      </c>
      <c r="E444" s="3066" t="s">
        <v>5088</v>
      </c>
      <c r="F444" s="3066" t="s">
        <v>3917</v>
      </c>
      <c r="G444" s="3066" t="s">
        <v>3560</v>
      </c>
      <c r="H444" s="3066" t="s">
        <v>3560</v>
      </c>
      <c r="I444" s="3066" t="s">
        <v>3560</v>
      </c>
      <c r="J444" s="3066" t="s">
        <v>3560</v>
      </c>
      <c r="K444" s="3066" t="s">
        <v>3560</v>
      </c>
      <c r="L444" s="3066" t="s">
        <v>3560</v>
      </c>
      <c r="M444" s="3066" t="s">
        <v>5089</v>
      </c>
      <c r="N444" s="3066">
        <v>40.299999999999997</v>
      </c>
      <c r="O444" s="3066" t="s">
        <v>3560</v>
      </c>
      <c r="P444" s="3066" t="s">
        <v>3560</v>
      </c>
      <c r="Q444" s="3066">
        <v>0</v>
      </c>
      <c r="R444" s="3066">
        <v>0</v>
      </c>
      <c r="S444" s="3066" t="s">
        <v>3577</v>
      </c>
      <c r="T444" s="3066">
        <v>0</v>
      </c>
      <c r="U444" s="3066">
        <v>0</v>
      </c>
      <c r="V444" s="3066" t="s">
        <v>3560</v>
      </c>
      <c r="W444" s="3066" t="s">
        <v>3568</v>
      </c>
      <c r="X444" s="3066">
        <v>0</v>
      </c>
      <c r="Y444" s="3066">
        <v>0</v>
      </c>
      <c r="Z444" s="3066" t="s">
        <v>3568</v>
      </c>
      <c r="AA444" s="3066" t="s">
        <v>3560</v>
      </c>
      <c r="AB444" s="3066" t="s">
        <v>3560</v>
      </c>
      <c r="AC444" s="3066" t="s">
        <v>3560</v>
      </c>
      <c r="AD444" s="3066" t="s">
        <v>3560</v>
      </c>
      <c r="AE444" s="3066" t="s">
        <v>3560</v>
      </c>
      <c r="AF444" s="3067">
        <v>0</v>
      </c>
      <c r="AG444" s="3066">
        <v>0</v>
      </c>
      <c r="AH444" s="3066">
        <v>0</v>
      </c>
      <c r="AI444" s="3066">
        <v>0</v>
      </c>
      <c r="AJ444" s="3066">
        <v>0</v>
      </c>
      <c r="AK444" s="3066">
        <v>0</v>
      </c>
      <c r="AL444" s="3066">
        <v>0</v>
      </c>
      <c r="AM444" s="3066">
        <v>0</v>
      </c>
      <c r="AN444" s="3066" t="s">
        <v>3560</v>
      </c>
      <c r="AP444" s="3068">
        <f t="shared" si="6"/>
        <v>0</v>
      </c>
    </row>
    <row r="445" spans="2:42" ht="27" customHeight="1">
      <c r="B445" s="3066">
        <v>453</v>
      </c>
      <c r="C445" s="3066" t="s">
        <v>3167</v>
      </c>
      <c r="D445" s="3066" t="s">
        <v>3915</v>
      </c>
      <c r="E445" s="3066" t="s">
        <v>5090</v>
      </c>
      <c r="F445" s="3066" t="s">
        <v>3917</v>
      </c>
      <c r="G445" s="3066" t="s">
        <v>3560</v>
      </c>
      <c r="H445" s="3066" t="s">
        <v>3560</v>
      </c>
      <c r="I445" s="3066" t="s">
        <v>3560</v>
      </c>
      <c r="J445" s="3066" t="s">
        <v>3560</v>
      </c>
      <c r="K445" s="3066" t="s">
        <v>3560</v>
      </c>
      <c r="L445" s="3066" t="s">
        <v>3560</v>
      </c>
      <c r="M445" s="3066" t="s">
        <v>5091</v>
      </c>
      <c r="N445" s="3066">
        <v>40.299999999999997</v>
      </c>
      <c r="O445" s="3066" t="s">
        <v>3560</v>
      </c>
      <c r="P445" s="3066" t="s">
        <v>3560</v>
      </c>
      <c r="Q445" s="3066">
        <v>0</v>
      </c>
      <c r="R445" s="3066">
        <v>0</v>
      </c>
      <c r="S445" s="3066" t="s">
        <v>3577</v>
      </c>
      <c r="T445" s="3066">
        <v>0</v>
      </c>
      <c r="U445" s="3066">
        <v>0</v>
      </c>
      <c r="V445" s="3066" t="s">
        <v>3560</v>
      </c>
      <c r="W445" s="3066" t="s">
        <v>3568</v>
      </c>
      <c r="X445" s="3066">
        <v>0</v>
      </c>
      <c r="Y445" s="3066">
        <v>0</v>
      </c>
      <c r="Z445" s="3066" t="s">
        <v>3568</v>
      </c>
      <c r="AA445" s="3066" t="s">
        <v>3560</v>
      </c>
      <c r="AB445" s="3066" t="s">
        <v>3560</v>
      </c>
      <c r="AC445" s="3066" t="s">
        <v>3560</v>
      </c>
      <c r="AD445" s="3066" t="s">
        <v>3560</v>
      </c>
      <c r="AE445" s="3066" t="s">
        <v>3560</v>
      </c>
      <c r="AF445" s="3067">
        <v>0</v>
      </c>
      <c r="AG445" s="3066">
        <v>0</v>
      </c>
      <c r="AH445" s="3066">
        <v>0</v>
      </c>
      <c r="AI445" s="3066">
        <v>0</v>
      </c>
      <c r="AJ445" s="3066">
        <v>0</v>
      </c>
      <c r="AK445" s="3066">
        <v>0</v>
      </c>
      <c r="AL445" s="3066">
        <v>0</v>
      </c>
      <c r="AM445" s="3066">
        <v>0</v>
      </c>
      <c r="AN445" s="3066" t="s">
        <v>3560</v>
      </c>
      <c r="AP445" s="3068">
        <f t="shared" si="6"/>
        <v>0</v>
      </c>
    </row>
    <row r="446" spans="2:42" ht="27" customHeight="1">
      <c r="B446" s="3066">
        <v>454</v>
      </c>
      <c r="C446" s="3066" t="s">
        <v>3167</v>
      </c>
      <c r="D446" s="3066" t="s">
        <v>3915</v>
      </c>
      <c r="E446" s="3066" t="s">
        <v>5092</v>
      </c>
      <c r="F446" s="3066" t="s">
        <v>3917</v>
      </c>
      <c r="G446" s="3066" t="s">
        <v>3560</v>
      </c>
      <c r="H446" s="3066" t="s">
        <v>3560</v>
      </c>
      <c r="I446" s="3066" t="s">
        <v>3560</v>
      </c>
      <c r="J446" s="3066" t="s">
        <v>3560</v>
      </c>
      <c r="K446" s="3066" t="s">
        <v>3560</v>
      </c>
      <c r="L446" s="3066" t="s">
        <v>3560</v>
      </c>
      <c r="M446" s="3066" t="s">
        <v>5093</v>
      </c>
      <c r="N446" s="3066">
        <v>40.4</v>
      </c>
      <c r="O446" s="3066" t="s">
        <v>3560</v>
      </c>
      <c r="P446" s="3066" t="s">
        <v>3560</v>
      </c>
      <c r="Q446" s="3066">
        <v>0</v>
      </c>
      <c r="R446" s="3066">
        <v>0</v>
      </c>
      <c r="S446" s="3066" t="s">
        <v>3577</v>
      </c>
      <c r="T446" s="3066">
        <v>0</v>
      </c>
      <c r="U446" s="3066">
        <v>0</v>
      </c>
      <c r="V446" s="3066" t="s">
        <v>3560</v>
      </c>
      <c r="W446" s="3066" t="s">
        <v>3568</v>
      </c>
      <c r="X446" s="3066">
        <v>0</v>
      </c>
      <c r="Y446" s="3066">
        <v>0</v>
      </c>
      <c r="Z446" s="3066" t="s">
        <v>3568</v>
      </c>
      <c r="AA446" s="3066" t="s">
        <v>3560</v>
      </c>
      <c r="AB446" s="3066" t="s">
        <v>3560</v>
      </c>
      <c r="AC446" s="3066" t="s">
        <v>3560</v>
      </c>
      <c r="AD446" s="3066" t="s">
        <v>3560</v>
      </c>
      <c r="AE446" s="3066" t="s">
        <v>3560</v>
      </c>
      <c r="AF446" s="3067">
        <v>0</v>
      </c>
      <c r="AG446" s="3066">
        <v>0</v>
      </c>
      <c r="AH446" s="3066">
        <v>0</v>
      </c>
      <c r="AI446" s="3066">
        <v>0</v>
      </c>
      <c r="AJ446" s="3066">
        <v>0</v>
      </c>
      <c r="AK446" s="3066">
        <v>0</v>
      </c>
      <c r="AL446" s="3066">
        <v>0</v>
      </c>
      <c r="AM446" s="3066">
        <v>0</v>
      </c>
      <c r="AN446" s="3066" t="s">
        <v>3560</v>
      </c>
      <c r="AP446" s="3068">
        <f t="shared" si="6"/>
        <v>0</v>
      </c>
    </row>
    <row r="447" spans="2:42" ht="27" customHeight="1">
      <c r="B447" s="3066">
        <v>455</v>
      </c>
      <c r="C447" s="3066" t="s">
        <v>3167</v>
      </c>
      <c r="D447" s="3066" t="s">
        <v>3915</v>
      </c>
      <c r="E447" s="3066" t="s">
        <v>5094</v>
      </c>
      <c r="F447" s="3066" t="s">
        <v>3917</v>
      </c>
      <c r="G447" s="3066" t="s">
        <v>3560</v>
      </c>
      <c r="H447" s="3066" t="s">
        <v>3560</v>
      </c>
      <c r="I447" s="3066" t="s">
        <v>3560</v>
      </c>
      <c r="J447" s="3066" t="s">
        <v>3560</v>
      </c>
      <c r="K447" s="3066" t="s">
        <v>3560</v>
      </c>
      <c r="L447" s="3066" t="s">
        <v>3560</v>
      </c>
      <c r="M447" s="3066" t="s">
        <v>5095</v>
      </c>
      <c r="N447" s="3066">
        <v>40.299999999999997</v>
      </c>
      <c r="O447" s="3066" t="s">
        <v>3560</v>
      </c>
      <c r="P447" s="3066" t="s">
        <v>3560</v>
      </c>
      <c r="Q447" s="3066">
        <v>0</v>
      </c>
      <c r="R447" s="3066">
        <v>0</v>
      </c>
      <c r="S447" s="3066" t="s">
        <v>3577</v>
      </c>
      <c r="T447" s="3066">
        <v>0</v>
      </c>
      <c r="U447" s="3066">
        <v>0</v>
      </c>
      <c r="V447" s="3066" t="s">
        <v>3560</v>
      </c>
      <c r="W447" s="3066" t="s">
        <v>3568</v>
      </c>
      <c r="X447" s="3066">
        <v>0</v>
      </c>
      <c r="Y447" s="3066">
        <v>0</v>
      </c>
      <c r="Z447" s="3066" t="s">
        <v>3568</v>
      </c>
      <c r="AA447" s="3066" t="s">
        <v>3560</v>
      </c>
      <c r="AB447" s="3066" t="s">
        <v>3560</v>
      </c>
      <c r="AC447" s="3066" t="s">
        <v>3560</v>
      </c>
      <c r="AD447" s="3066" t="s">
        <v>3560</v>
      </c>
      <c r="AE447" s="3066" t="s">
        <v>3560</v>
      </c>
      <c r="AF447" s="3067">
        <v>0</v>
      </c>
      <c r="AG447" s="3066">
        <v>0</v>
      </c>
      <c r="AH447" s="3066">
        <v>0</v>
      </c>
      <c r="AI447" s="3066">
        <v>0</v>
      </c>
      <c r="AJ447" s="3066">
        <v>0</v>
      </c>
      <c r="AK447" s="3066">
        <v>0</v>
      </c>
      <c r="AL447" s="3066">
        <v>0</v>
      </c>
      <c r="AM447" s="3066">
        <v>0</v>
      </c>
      <c r="AN447" s="3066" t="s">
        <v>3560</v>
      </c>
      <c r="AP447" s="3068">
        <f t="shared" si="6"/>
        <v>0</v>
      </c>
    </row>
    <row r="448" spans="2:42" ht="27" customHeight="1">
      <c r="B448" s="3066">
        <v>456</v>
      </c>
      <c r="C448" s="3066" t="s">
        <v>3167</v>
      </c>
      <c r="D448" s="3066" t="s">
        <v>3915</v>
      </c>
      <c r="E448" s="3066" t="s">
        <v>5096</v>
      </c>
      <c r="F448" s="3066" t="s">
        <v>3917</v>
      </c>
      <c r="G448" s="3066" t="s">
        <v>3560</v>
      </c>
      <c r="H448" s="3066" t="s">
        <v>3560</v>
      </c>
      <c r="I448" s="3066" t="s">
        <v>3560</v>
      </c>
      <c r="J448" s="3066" t="s">
        <v>3560</v>
      </c>
      <c r="K448" s="3066" t="s">
        <v>3560</v>
      </c>
      <c r="L448" s="3066" t="s">
        <v>3560</v>
      </c>
      <c r="M448" s="3066" t="s">
        <v>5097</v>
      </c>
      <c r="N448" s="3066">
        <v>40.299999999999997</v>
      </c>
      <c r="O448" s="3066" t="s">
        <v>3560</v>
      </c>
      <c r="P448" s="3066" t="s">
        <v>3560</v>
      </c>
      <c r="Q448" s="3066">
        <v>0</v>
      </c>
      <c r="R448" s="3066">
        <v>0</v>
      </c>
      <c r="S448" s="3066" t="s">
        <v>3577</v>
      </c>
      <c r="T448" s="3066">
        <v>0</v>
      </c>
      <c r="U448" s="3066">
        <v>0</v>
      </c>
      <c r="V448" s="3066" t="s">
        <v>3560</v>
      </c>
      <c r="W448" s="3066" t="s">
        <v>3568</v>
      </c>
      <c r="X448" s="3066">
        <v>0</v>
      </c>
      <c r="Y448" s="3066">
        <v>0</v>
      </c>
      <c r="Z448" s="3066" t="s">
        <v>3568</v>
      </c>
      <c r="AA448" s="3066" t="s">
        <v>3560</v>
      </c>
      <c r="AB448" s="3066" t="s">
        <v>3560</v>
      </c>
      <c r="AC448" s="3066" t="s">
        <v>3560</v>
      </c>
      <c r="AD448" s="3066" t="s">
        <v>3560</v>
      </c>
      <c r="AE448" s="3066" t="s">
        <v>3560</v>
      </c>
      <c r="AF448" s="3067">
        <v>0</v>
      </c>
      <c r="AG448" s="3066">
        <v>0</v>
      </c>
      <c r="AH448" s="3066">
        <v>0</v>
      </c>
      <c r="AI448" s="3066">
        <v>0</v>
      </c>
      <c r="AJ448" s="3066">
        <v>0</v>
      </c>
      <c r="AK448" s="3066">
        <v>0</v>
      </c>
      <c r="AL448" s="3066">
        <v>0</v>
      </c>
      <c r="AM448" s="3066">
        <v>0</v>
      </c>
      <c r="AN448" s="3066" t="s">
        <v>3560</v>
      </c>
      <c r="AP448" s="3068">
        <f t="shared" si="6"/>
        <v>0</v>
      </c>
    </row>
    <row r="449" spans="2:42" ht="27" customHeight="1">
      <c r="B449" s="3066">
        <v>457</v>
      </c>
      <c r="C449" s="3066" t="s">
        <v>3167</v>
      </c>
      <c r="D449" s="3066" t="s">
        <v>3915</v>
      </c>
      <c r="E449" s="3066" t="s">
        <v>5098</v>
      </c>
      <c r="F449" s="3066" t="s">
        <v>3917</v>
      </c>
      <c r="G449" s="3066" t="s">
        <v>3560</v>
      </c>
      <c r="H449" s="3066" t="s">
        <v>3560</v>
      </c>
      <c r="I449" s="3066" t="s">
        <v>3560</v>
      </c>
      <c r="J449" s="3066" t="s">
        <v>3560</v>
      </c>
      <c r="K449" s="3066" t="s">
        <v>3560</v>
      </c>
      <c r="L449" s="3066" t="s">
        <v>3560</v>
      </c>
      <c r="M449" s="3066" t="s">
        <v>5099</v>
      </c>
      <c r="N449" s="3066">
        <v>40.4</v>
      </c>
      <c r="O449" s="3066" t="s">
        <v>3560</v>
      </c>
      <c r="P449" s="3066" t="s">
        <v>3560</v>
      </c>
      <c r="Q449" s="3066">
        <v>0</v>
      </c>
      <c r="R449" s="3066">
        <v>0</v>
      </c>
      <c r="S449" s="3066" t="s">
        <v>3577</v>
      </c>
      <c r="T449" s="3066">
        <v>0</v>
      </c>
      <c r="U449" s="3066">
        <v>0</v>
      </c>
      <c r="V449" s="3066" t="s">
        <v>3560</v>
      </c>
      <c r="W449" s="3066" t="s">
        <v>3568</v>
      </c>
      <c r="X449" s="3066">
        <v>0</v>
      </c>
      <c r="Y449" s="3066">
        <v>0</v>
      </c>
      <c r="Z449" s="3066" t="s">
        <v>3568</v>
      </c>
      <c r="AA449" s="3066" t="s">
        <v>3560</v>
      </c>
      <c r="AB449" s="3066" t="s">
        <v>3560</v>
      </c>
      <c r="AC449" s="3066" t="s">
        <v>3560</v>
      </c>
      <c r="AD449" s="3066" t="s">
        <v>3560</v>
      </c>
      <c r="AE449" s="3066" t="s">
        <v>3560</v>
      </c>
      <c r="AF449" s="3067">
        <v>0</v>
      </c>
      <c r="AG449" s="3066">
        <v>0</v>
      </c>
      <c r="AH449" s="3066">
        <v>0</v>
      </c>
      <c r="AI449" s="3066">
        <v>0</v>
      </c>
      <c r="AJ449" s="3066">
        <v>0</v>
      </c>
      <c r="AK449" s="3066">
        <v>0</v>
      </c>
      <c r="AL449" s="3066">
        <v>0</v>
      </c>
      <c r="AM449" s="3066">
        <v>0</v>
      </c>
      <c r="AN449" s="3066" t="s">
        <v>3560</v>
      </c>
      <c r="AP449" s="3068">
        <f t="shared" si="6"/>
        <v>0</v>
      </c>
    </row>
    <row r="450" spans="2:42" ht="27" customHeight="1">
      <c r="B450" s="3066">
        <v>458</v>
      </c>
      <c r="C450" s="3066" t="s">
        <v>3167</v>
      </c>
      <c r="D450" s="3066" t="s">
        <v>3915</v>
      </c>
      <c r="E450" s="3066" t="s">
        <v>5100</v>
      </c>
      <c r="F450" s="3066" t="s">
        <v>3917</v>
      </c>
      <c r="G450" s="3066" t="s">
        <v>3560</v>
      </c>
      <c r="H450" s="3066" t="s">
        <v>3560</v>
      </c>
      <c r="I450" s="3066" t="s">
        <v>3560</v>
      </c>
      <c r="J450" s="3066" t="s">
        <v>3560</v>
      </c>
      <c r="K450" s="3066" t="s">
        <v>3560</v>
      </c>
      <c r="L450" s="3066" t="s">
        <v>3560</v>
      </c>
      <c r="M450" s="3066" t="s">
        <v>5101</v>
      </c>
      <c r="N450" s="3066">
        <v>40.299999999999997</v>
      </c>
      <c r="O450" s="3066" t="s">
        <v>3560</v>
      </c>
      <c r="P450" s="3066" t="s">
        <v>3560</v>
      </c>
      <c r="Q450" s="3066">
        <v>0</v>
      </c>
      <c r="R450" s="3066">
        <v>0</v>
      </c>
      <c r="S450" s="3066" t="s">
        <v>3577</v>
      </c>
      <c r="T450" s="3066">
        <v>0</v>
      </c>
      <c r="U450" s="3066">
        <v>0</v>
      </c>
      <c r="V450" s="3066" t="s">
        <v>3560</v>
      </c>
      <c r="W450" s="3066" t="s">
        <v>3568</v>
      </c>
      <c r="X450" s="3066">
        <v>0</v>
      </c>
      <c r="Y450" s="3066">
        <v>0</v>
      </c>
      <c r="Z450" s="3066" t="s">
        <v>3568</v>
      </c>
      <c r="AA450" s="3066" t="s">
        <v>3560</v>
      </c>
      <c r="AB450" s="3066" t="s">
        <v>3560</v>
      </c>
      <c r="AC450" s="3066" t="s">
        <v>3560</v>
      </c>
      <c r="AD450" s="3066" t="s">
        <v>3560</v>
      </c>
      <c r="AE450" s="3066" t="s">
        <v>3560</v>
      </c>
      <c r="AF450" s="3067">
        <v>0</v>
      </c>
      <c r="AG450" s="3066">
        <v>0</v>
      </c>
      <c r="AH450" s="3066">
        <v>0</v>
      </c>
      <c r="AI450" s="3066">
        <v>0</v>
      </c>
      <c r="AJ450" s="3066">
        <v>0</v>
      </c>
      <c r="AK450" s="3066">
        <v>0</v>
      </c>
      <c r="AL450" s="3066">
        <v>0</v>
      </c>
      <c r="AM450" s="3066">
        <v>0</v>
      </c>
      <c r="AN450" s="3066" t="s">
        <v>3560</v>
      </c>
      <c r="AP450" s="3068">
        <f t="shared" si="6"/>
        <v>0</v>
      </c>
    </row>
    <row r="451" spans="2:42" ht="27" customHeight="1">
      <c r="B451" s="3066">
        <v>459</v>
      </c>
      <c r="C451" s="3066" t="s">
        <v>3167</v>
      </c>
      <c r="D451" s="3066" t="s">
        <v>3915</v>
      </c>
      <c r="E451" s="3066" t="s">
        <v>5102</v>
      </c>
      <c r="F451" s="3066" t="s">
        <v>3917</v>
      </c>
      <c r="G451" s="3066" t="s">
        <v>3560</v>
      </c>
      <c r="H451" s="3066" t="s">
        <v>3560</v>
      </c>
      <c r="I451" s="3066" t="s">
        <v>3560</v>
      </c>
      <c r="J451" s="3066" t="s">
        <v>3560</v>
      </c>
      <c r="K451" s="3066" t="s">
        <v>3560</v>
      </c>
      <c r="L451" s="3066" t="s">
        <v>3560</v>
      </c>
      <c r="M451" s="3066" t="s">
        <v>5103</v>
      </c>
      <c r="N451" s="3066">
        <v>40.299999999999997</v>
      </c>
      <c r="O451" s="3066" t="s">
        <v>3560</v>
      </c>
      <c r="P451" s="3066" t="s">
        <v>3560</v>
      </c>
      <c r="Q451" s="3066">
        <v>0</v>
      </c>
      <c r="R451" s="3066">
        <v>0</v>
      </c>
      <c r="S451" s="3066" t="s">
        <v>3577</v>
      </c>
      <c r="T451" s="3066">
        <v>0</v>
      </c>
      <c r="U451" s="3066">
        <v>0</v>
      </c>
      <c r="V451" s="3066" t="s">
        <v>3560</v>
      </c>
      <c r="W451" s="3066" t="s">
        <v>3568</v>
      </c>
      <c r="X451" s="3066">
        <v>0</v>
      </c>
      <c r="Y451" s="3066">
        <v>0</v>
      </c>
      <c r="Z451" s="3066" t="s">
        <v>3568</v>
      </c>
      <c r="AA451" s="3066" t="s">
        <v>3560</v>
      </c>
      <c r="AB451" s="3066" t="s">
        <v>3560</v>
      </c>
      <c r="AC451" s="3066" t="s">
        <v>3560</v>
      </c>
      <c r="AD451" s="3066" t="s">
        <v>3560</v>
      </c>
      <c r="AE451" s="3066" t="s">
        <v>3560</v>
      </c>
      <c r="AF451" s="3067">
        <v>0</v>
      </c>
      <c r="AG451" s="3066">
        <v>0</v>
      </c>
      <c r="AH451" s="3066">
        <v>0</v>
      </c>
      <c r="AI451" s="3066">
        <v>0</v>
      </c>
      <c r="AJ451" s="3066">
        <v>0</v>
      </c>
      <c r="AK451" s="3066">
        <v>0</v>
      </c>
      <c r="AL451" s="3066">
        <v>0</v>
      </c>
      <c r="AM451" s="3066">
        <v>0</v>
      </c>
      <c r="AN451" s="3066" t="s">
        <v>3560</v>
      </c>
      <c r="AP451" s="3068">
        <f t="shared" si="6"/>
        <v>0</v>
      </c>
    </row>
    <row r="452" spans="2:42" ht="27" customHeight="1">
      <c r="B452" s="3066">
        <v>460</v>
      </c>
      <c r="C452" s="3066" t="s">
        <v>3167</v>
      </c>
      <c r="D452" s="3066" t="s">
        <v>3915</v>
      </c>
      <c r="E452" s="3066" t="s">
        <v>5104</v>
      </c>
      <c r="F452" s="3066" t="s">
        <v>3917</v>
      </c>
      <c r="G452" s="3066" t="s">
        <v>3560</v>
      </c>
      <c r="H452" s="3066" t="s">
        <v>3560</v>
      </c>
      <c r="I452" s="3066" t="s">
        <v>3560</v>
      </c>
      <c r="J452" s="3066" t="s">
        <v>3560</v>
      </c>
      <c r="K452" s="3066" t="s">
        <v>3560</v>
      </c>
      <c r="L452" s="3066" t="s">
        <v>3560</v>
      </c>
      <c r="M452" s="3066" t="s">
        <v>5105</v>
      </c>
      <c r="N452" s="3066">
        <v>40.299999999999997</v>
      </c>
      <c r="O452" s="3066" t="s">
        <v>3560</v>
      </c>
      <c r="P452" s="3066" t="s">
        <v>3560</v>
      </c>
      <c r="Q452" s="3066">
        <v>0</v>
      </c>
      <c r="R452" s="3066">
        <v>0</v>
      </c>
      <c r="S452" s="3066" t="s">
        <v>3577</v>
      </c>
      <c r="T452" s="3066">
        <v>0</v>
      </c>
      <c r="U452" s="3066">
        <v>0</v>
      </c>
      <c r="V452" s="3066" t="s">
        <v>3560</v>
      </c>
      <c r="W452" s="3066" t="s">
        <v>3568</v>
      </c>
      <c r="X452" s="3066">
        <v>0</v>
      </c>
      <c r="Y452" s="3066">
        <v>0</v>
      </c>
      <c r="Z452" s="3066" t="s">
        <v>3568</v>
      </c>
      <c r="AA452" s="3066" t="s">
        <v>3560</v>
      </c>
      <c r="AB452" s="3066" t="s">
        <v>3560</v>
      </c>
      <c r="AC452" s="3066" t="s">
        <v>3560</v>
      </c>
      <c r="AD452" s="3066" t="s">
        <v>3560</v>
      </c>
      <c r="AE452" s="3066" t="s">
        <v>3560</v>
      </c>
      <c r="AF452" s="3067">
        <v>0</v>
      </c>
      <c r="AG452" s="3066">
        <v>0</v>
      </c>
      <c r="AH452" s="3066">
        <v>0</v>
      </c>
      <c r="AI452" s="3066">
        <v>0</v>
      </c>
      <c r="AJ452" s="3066">
        <v>0</v>
      </c>
      <c r="AK452" s="3066">
        <v>0</v>
      </c>
      <c r="AL452" s="3066">
        <v>0</v>
      </c>
      <c r="AM452" s="3066">
        <v>0</v>
      </c>
      <c r="AN452" s="3066" t="s">
        <v>3560</v>
      </c>
      <c r="AP452" s="3068">
        <f t="shared" ref="AP452:AP515" si="7">AF452/N452</f>
        <v>0</v>
      </c>
    </row>
    <row r="453" spans="2:42" ht="27" customHeight="1">
      <c r="B453" s="3066">
        <v>461</v>
      </c>
      <c r="C453" s="3066" t="s">
        <v>3167</v>
      </c>
      <c r="D453" s="3066" t="s">
        <v>3915</v>
      </c>
      <c r="E453" s="3066" t="s">
        <v>5106</v>
      </c>
      <c r="F453" s="3066" t="s">
        <v>3917</v>
      </c>
      <c r="G453" s="3066" t="s">
        <v>3560</v>
      </c>
      <c r="H453" s="3066" t="s">
        <v>3560</v>
      </c>
      <c r="I453" s="3066" t="s">
        <v>3560</v>
      </c>
      <c r="J453" s="3066" t="s">
        <v>3560</v>
      </c>
      <c r="K453" s="3066" t="s">
        <v>3560</v>
      </c>
      <c r="L453" s="3066" t="s">
        <v>3560</v>
      </c>
      <c r="M453" s="3066" t="s">
        <v>5107</v>
      </c>
      <c r="N453" s="3066">
        <v>40.299999999999997</v>
      </c>
      <c r="O453" s="3066" t="s">
        <v>3560</v>
      </c>
      <c r="P453" s="3066" t="s">
        <v>3560</v>
      </c>
      <c r="Q453" s="3066">
        <v>0</v>
      </c>
      <c r="R453" s="3066">
        <v>0</v>
      </c>
      <c r="S453" s="3066" t="s">
        <v>3577</v>
      </c>
      <c r="T453" s="3066">
        <v>0</v>
      </c>
      <c r="U453" s="3066">
        <v>0</v>
      </c>
      <c r="V453" s="3066" t="s">
        <v>3560</v>
      </c>
      <c r="W453" s="3066" t="s">
        <v>3568</v>
      </c>
      <c r="X453" s="3066">
        <v>0</v>
      </c>
      <c r="Y453" s="3066">
        <v>0</v>
      </c>
      <c r="Z453" s="3066" t="s">
        <v>3568</v>
      </c>
      <c r="AA453" s="3066" t="s">
        <v>3560</v>
      </c>
      <c r="AB453" s="3066" t="s">
        <v>3560</v>
      </c>
      <c r="AC453" s="3066" t="s">
        <v>3560</v>
      </c>
      <c r="AD453" s="3066" t="s">
        <v>3560</v>
      </c>
      <c r="AE453" s="3066" t="s">
        <v>3560</v>
      </c>
      <c r="AF453" s="3067">
        <v>0</v>
      </c>
      <c r="AG453" s="3066">
        <v>0</v>
      </c>
      <c r="AH453" s="3066">
        <v>0</v>
      </c>
      <c r="AI453" s="3066">
        <v>0</v>
      </c>
      <c r="AJ453" s="3066">
        <v>0</v>
      </c>
      <c r="AK453" s="3066">
        <v>0</v>
      </c>
      <c r="AL453" s="3066">
        <v>0</v>
      </c>
      <c r="AM453" s="3066">
        <v>0</v>
      </c>
      <c r="AN453" s="3066" t="s">
        <v>3560</v>
      </c>
      <c r="AP453" s="3068">
        <f t="shared" si="7"/>
        <v>0</v>
      </c>
    </row>
    <row r="454" spans="2:42" ht="27" customHeight="1">
      <c r="B454" s="3066">
        <v>462</v>
      </c>
      <c r="C454" s="3066" t="s">
        <v>3167</v>
      </c>
      <c r="D454" s="3066" t="s">
        <v>3915</v>
      </c>
      <c r="E454" s="3066" t="s">
        <v>5108</v>
      </c>
      <c r="F454" s="3066" t="s">
        <v>3917</v>
      </c>
      <c r="G454" s="3066" t="s">
        <v>3560</v>
      </c>
      <c r="H454" s="3066" t="s">
        <v>3560</v>
      </c>
      <c r="I454" s="3066" t="s">
        <v>3560</v>
      </c>
      <c r="J454" s="3066" t="s">
        <v>3560</v>
      </c>
      <c r="K454" s="3066" t="s">
        <v>3560</v>
      </c>
      <c r="L454" s="3066" t="s">
        <v>3560</v>
      </c>
      <c r="M454" s="3066" t="s">
        <v>5109</v>
      </c>
      <c r="N454" s="3066">
        <v>40.299999999999997</v>
      </c>
      <c r="O454" s="3066" t="s">
        <v>3560</v>
      </c>
      <c r="P454" s="3066" t="s">
        <v>3560</v>
      </c>
      <c r="Q454" s="3066">
        <v>0</v>
      </c>
      <c r="R454" s="3066">
        <v>0</v>
      </c>
      <c r="S454" s="3066" t="s">
        <v>3577</v>
      </c>
      <c r="T454" s="3066">
        <v>0</v>
      </c>
      <c r="U454" s="3066">
        <v>0</v>
      </c>
      <c r="V454" s="3066" t="s">
        <v>3560</v>
      </c>
      <c r="W454" s="3066" t="s">
        <v>3568</v>
      </c>
      <c r="X454" s="3066">
        <v>0</v>
      </c>
      <c r="Y454" s="3066">
        <v>0</v>
      </c>
      <c r="Z454" s="3066" t="s">
        <v>3568</v>
      </c>
      <c r="AA454" s="3066" t="s">
        <v>3560</v>
      </c>
      <c r="AB454" s="3066" t="s">
        <v>3560</v>
      </c>
      <c r="AC454" s="3066" t="s">
        <v>3560</v>
      </c>
      <c r="AD454" s="3066" t="s">
        <v>3560</v>
      </c>
      <c r="AE454" s="3066" t="s">
        <v>3560</v>
      </c>
      <c r="AF454" s="3067">
        <v>0</v>
      </c>
      <c r="AG454" s="3066">
        <v>0</v>
      </c>
      <c r="AH454" s="3066">
        <v>0</v>
      </c>
      <c r="AI454" s="3066">
        <v>0</v>
      </c>
      <c r="AJ454" s="3066">
        <v>0</v>
      </c>
      <c r="AK454" s="3066">
        <v>0</v>
      </c>
      <c r="AL454" s="3066">
        <v>0</v>
      </c>
      <c r="AM454" s="3066">
        <v>0</v>
      </c>
      <c r="AN454" s="3066" t="s">
        <v>3560</v>
      </c>
      <c r="AP454" s="3068">
        <f t="shared" si="7"/>
        <v>0</v>
      </c>
    </row>
    <row r="455" spans="2:42" ht="27" customHeight="1">
      <c r="B455" s="3066">
        <v>463</v>
      </c>
      <c r="C455" s="3066" t="s">
        <v>3167</v>
      </c>
      <c r="D455" s="3066" t="s">
        <v>3915</v>
      </c>
      <c r="E455" s="3066" t="s">
        <v>5110</v>
      </c>
      <c r="F455" s="3066" t="s">
        <v>3917</v>
      </c>
      <c r="G455" s="3066" t="s">
        <v>3560</v>
      </c>
      <c r="H455" s="3066" t="s">
        <v>3560</v>
      </c>
      <c r="I455" s="3066" t="s">
        <v>3560</v>
      </c>
      <c r="J455" s="3066" t="s">
        <v>3560</v>
      </c>
      <c r="K455" s="3066" t="s">
        <v>3560</v>
      </c>
      <c r="L455" s="3066" t="s">
        <v>3560</v>
      </c>
      <c r="M455" s="3066" t="s">
        <v>5111</v>
      </c>
      <c r="N455" s="3066">
        <v>46.5</v>
      </c>
      <c r="O455" s="3066" t="s">
        <v>3560</v>
      </c>
      <c r="P455" s="3066" t="s">
        <v>3560</v>
      </c>
      <c r="Q455" s="3066">
        <v>0</v>
      </c>
      <c r="R455" s="3066">
        <v>0</v>
      </c>
      <c r="S455" s="3066" t="s">
        <v>3577</v>
      </c>
      <c r="T455" s="3066">
        <v>0</v>
      </c>
      <c r="U455" s="3066">
        <v>0</v>
      </c>
      <c r="V455" s="3066" t="s">
        <v>3560</v>
      </c>
      <c r="W455" s="3066" t="s">
        <v>3568</v>
      </c>
      <c r="X455" s="3066">
        <v>0</v>
      </c>
      <c r="Y455" s="3066">
        <v>0</v>
      </c>
      <c r="Z455" s="3066" t="s">
        <v>3568</v>
      </c>
      <c r="AA455" s="3066" t="s">
        <v>3560</v>
      </c>
      <c r="AB455" s="3066" t="s">
        <v>3560</v>
      </c>
      <c r="AC455" s="3066" t="s">
        <v>3560</v>
      </c>
      <c r="AD455" s="3066" t="s">
        <v>3560</v>
      </c>
      <c r="AE455" s="3066" t="s">
        <v>3560</v>
      </c>
      <c r="AF455" s="3067">
        <v>0</v>
      </c>
      <c r="AG455" s="3066">
        <v>0</v>
      </c>
      <c r="AH455" s="3066">
        <v>0</v>
      </c>
      <c r="AI455" s="3066">
        <v>0</v>
      </c>
      <c r="AJ455" s="3066">
        <v>0</v>
      </c>
      <c r="AK455" s="3066">
        <v>0</v>
      </c>
      <c r="AL455" s="3066">
        <v>0</v>
      </c>
      <c r="AM455" s="3066">
        <v>0</v>
      </c>
      <c r="AN455" s="3066" t="s">
        <v>3560</v>
      </c>
      <c r="AP455" s="3068">
        <f t="shared" si="7"/>
        <v>0</v>
      </c>
    </row>
    <row r="456" spans="2:42" ht="27" customHeight="1">
      <c r="B456" s="3066">
        <v>464</v>
      </c>
      <c r="C456" s="3066" t="s">
        <v>3167</v>
      </c>
      <c r="D456" s="3066" t="s">
        <v>3926</v>
      </c>
      <c r="E456" s="3066" t="s">
        <v>5112</v>
      </c>
      <c r="F456" s="3066" t="s">
        <v>3917</v>
      </c>
      <c r="G456" s="3066" t="s">
        <v>3560</v>
      </c>
      <c r="H456" s="3066" t="s">
        <v>3560</v>
      </c>
      <c r="I456" s="3066" t="s">
        <v>3560</v>
      </c>
      <c r="J456" s="3066" t="s">
        <v>3560</v>
      </c>
      <c r="K456" s="3066" t="s">
        <v>3560</v>
      </c>
      <c r="L456" s="3066" t="s">
        <v>3560</v>
      </c>
      <c r="M456" s="3066" t="s">
        <v>5113</v>
      </c>
      <c r="N456" s="3066">
        <v>40.299999999999997</v>
      </c>
      <c r="O456" s="3066" t="s">
        <v>3560</v>
      </c>
      <c r="P456" s="3066" t="s">
        <v>3560</v>
      </c>
      <c r="Q456" s="3066">
        <v>0</v>
      </c>
      <c r="R456" s="3066">
        <v>0</v>
      </c>
      <c r="S456" s="3066" t="s">
        <v>3577</v>
      </c>
      <c r="T456" s="3066">
        <v>0</v>
      </c>
      <c r="U456" s="3066">
        <v>0</v>
      </c>
      <c r="V456" s="3066" t="s">
        <v>3560</v>
      </c>
      <c r="W456" s="3066" t="s">
        <v>3568</v>
      </c>
      <c r="X456" s="3066">
        <v>0</v>
      </c>
      <c r="Y456" s="3066">
        <v>0</v>
      </c>
      <c r="Z456" s="3066" t="s">
        <v>3568</v>
      </c>
      <c r="AA456" s="3066" t="s">
        <v>3560</v>
      </c>
      <c r="AB456" s="3066" t="s">
        <v>3560</v>
      </c>
      <c r="AC456" s="3066" t="s">
        <v>3560</v>
      </c>
      <c r="AD456" s="3066" t="s">
        <v>3560</v>
      </c>
      <c r="AE456" s="3066" t="s">
        <v>3560</v>
      </c>
      <c r="AF456" s="3067">
        <v>0</v>
      </c>
      <c r="AG456" s="3066">
        <v>0</v>
      </c>
      <c r="AH456" s="3066">
        <v>0</v>
      </c>
      <c r="AI456" s="3066">
        <v>0</v>
      </c>
      <c r="AJ456" s="3066">
        <v>0</v>
      </c>
      <c r="AK456" s="3066">
        <v>0</v>
      </c>
      <c r="AL456" s="3066">
        <v>0</v>
      </c>
      <c r="AM456" s="3066">
        <v>0</v>
      </c>
      <c r="AN456" s="3066" t="s">
        <v>3560</v>
      </c>
      <c r="AP456" s="3068">
        <f t="shared" si="7"/>
        <v>0</v>
      </c>
    </row>
    <row r="457" spans="2:42" ht="27" customHeight="1">
      <c r="B457" s="3066">
        <v>465</v>
      </c>
      <c r="C457" s="3066" t="s">
        <v>3167</v>
      </c>
      <c r="D457" s="3066" t="s">
        <v>3926</v>
      </c>
      <c r="E457" s="3066" t="s">
        <v>5114</v>
      </c>
      <c r="F457" s="3066" t="s">
        <v>3917</v>
      </c>
      <c r="G457" s="3066" t="s">
        <v>3560</v>
      </c>
      <c r="H457" s="3066" t="s">
        <v>3560</v>
      </c>
      <c r="I457" s="3066" t="s">
        <v>3560</v>
      </c>
      <c r="J457" s="3066" t="s">
        <v>3560</v>
      </c>
      <c r="K457" s="3066" t="s">
        <v>3560</v>
      </c>
      <c r="L457" s="3066" t="s">
        <v>3560</v>
      </c>
      <c r="M457" s="3066" t="s">
        <v>5115</v>
      </c>
      <c r="N457" s="3066">
        <v>40.299999999999997</v>
      </c>
      <c r="O457" s="3066" t="s">
        <v>3560</v>
      </c>
      <c r="P457" s="3066" t="s">
        <v>3560</v>
      </c>
      <c r="Q457" s="3066">
        <v>0</v>
      </c>
      <c r="R457" s="3066">
        <v>0</v>
      </c>
      <c r="S457" s="3066" t="s">
        <v>3577</v>
      </c>
      <c r="T457" s="3066">
        <v>0</v>
      </c>
      <c r="U457" s="3066">
        <v>0</v>
      </c>
      <c r="V457" s="3066" t="s">
        <v>3560</v>
      </c>
      <c r="W457" s="3066" t="s">
        <v>3568</v>
      </c>
      <c r="X457" s="3066">
        <v>0</v>
      </c>
      <c r="Y457" s="3066">
        <v>0</v>
      </c>
      <c r="Z457" s="3066" t="s">
        <v>3568</v>
      </c>
      <c r="AA457" s="3066" t="s">
        <v>3560</v>
      </c>
      <c r="AB457" s="3066" t="s">
        <v>3560</v>
      </c>
      <c r="AC457" s="3066" t="s">
        <v>3560</v>
      </c>
      <c r="AD457" s="3066" t="s">
        <v>3560</v>
      </c>
      <c r="AE457" s="3066" t="s">
        <v>3560</v>
      </c>
      <c r="AF457" s="3067">
        <v>0</v>
      </c>
      <c r="AG457" s="3066">
        <v>0</v>
      </c>
      <c r="AH457" s="3066">
        <v>0</v>
      </c>
      <c r="AI457" s="3066">
        <v>0</v>
      </c>
      <c r="AJ457" s="3066">
        <v>0</v>
      </c>
      <c r="AK457" s="3066">
        <v>0</v>
      </c>
      <c r="AL457" s="3066">
        <v>0</v>
      </c>
      <c r="AM457" s="3066">
        <v>0</v>
      </c>
      <c r="AN457" s="3066" t="s">
        <v>3560</v>
      </c>
      <c r="AP457" s="3068">
        <f t="shared" si="7"/>
        <v>0</v>
      </c>
    </row>
    <row r="458" spans="2:42" ht="27" customHeight="1">
      <c r="B458" s="3066">
        <v>466</v>
      </c>
      <c r="C458" s="3066" t="s">
        <v>3167</v>
      </c>
      <c r="D458" s="3066" t="s">
        <v>3926</v>
      </c>
      <c r="E458" s="3066" t="s">
        <v>5116</v>
      </c>
      <c r="F458" s="3066" t="s">
        <v>3917</v>
      </c>
      <c r="G458" s="3066" t="s">
        <v>3560</v>
      </c>
      <c r="H458" s="3066" t="s">
        <v>3560</v>
      </c>
      <c r="I458" s="3066" t="s">
        <v>3560</v>
      </c>
      <c r="J458" s="3066" t="s">
        <v>3560</v>
      </c>
      <c r="K458" s="3066" t="s">
        <v>3560</v>
      </c>
      <c r="L458" s="3066" t="s">
        <v>3560</v>
      </c>
      <c r="M458" s="3066" t="s">
        <v>5117</v>
      </c>
      <c r="N458" s="3066">
        <v>40.299999999999997</v>
      </c>
      <c r="O458" s="3066" t="s">
        <v>3560</v>
      </c>
      <c r="P458" s="3066" t="s">
        <v>3560</v>
      </c>
      <c r="Q458" s="3066">
        <v>0</v>
      </c>
      <c r="R458" s="3066">
        <v>0</v>
      </c>
      <c r="S458" s="3066" t="s">
        <v>3577</v>
      </c>
      <c r="T458" s="3066">
        <v>0</v>
      </c>
      <c r="U458" s="3066">
        <v>0</v>
      </c>
      <c r="V458" s="3066" t="s">
        <v>3560</v>
      </c>
      <c r="W458" s="3066" t="s">
        <v>3568</v>
      </c>
      <c r="X458" s="3066">
        <v>0</v>
      </c>
      <c r="Y458" s="3066">
        <v>0</v>
      </c>
      <c r="Z458" s="3066" t="s">
        <v>3568</v>
      </c>
      <c r="AA458" s="3066" t="s">
        <v>3560</v>
      </c>
      <c r="AB458" s="3066" t="s">
        <v>3560</v>
      </c>
      <c r="AC458" s="3066" t="s">
        <v>3560</v>
      </c>
      <c r="AD458" s="3066" t="s">
        <v>3560</v>
      </c>
      <c r="AE458" s="3066" t="s">
        <v>3560</v>
      </c>
      <c r="AF458" s="3067">
        <v>0</v>
      </c>
      <c r="AG458" s="3066">
        <v>0</v>
      </c>
      <c r="AH458" s="3066">
        <v>0</v>
      </c>
      <c r="AI458" s="3066">
        <v>0</v>
      </c>
      <c r="AJ458" s="3066">
        <v>0</v>
      </c>
      <c r="AK458" s="3066">
        <v>0</v>
      </c>
      <c r="AL458" s="3066">
        <v>0</v>
      </c>
      <c r="AM458" s="3066">
        <v>0</v>
      </c>
      <c r="AN458" s="3066" t="s">
        <v>3560</v>
      </c>
      <c r="AP458" s="3068">
        <f t="shared" si="7"/>
        <v>0</v>
      </c>
    </row>
    <row r="459" spans="2:42" ht="27" customHeight="1">
      <c r="B459" s="3066">
        <v>467</v>
      </c>
      <c r="C459" s="3066" t="s">
        <v>3167</v>
      </c>
      <c r="D459" s="3066" t="s">
        <v>3926</v>
      </c>
      <c r="E459" s="3066" t="s">
        <v>5118</v>
      </c>
      <c r="F459" s="3066" t="s">
        <v>3917</v>
      </c>
      <c r="G459" s="3066" t="s">
        <v>3560</v>
      </c>
      <c r="H459" s="3066" t="s">
        <v>3560</v>
      </c>
      <c r="I459" s="3066" t="s">
        <v>3560</v>
      </c>
      <c r="J459" s="3066" t="s">
        <v>3560</v>
      </c>
      <c r="K459" s="3066" t="s">
        <v>3560</v>
      </c>
      <c r="L459" s="3066" t="s">
        <v>3560</v>
      </c>
      <c r="M459" s="3066" t="s">
        <v>5119</v>
      </c>
      <c r="N459" s="3066">
        <v>40.299999999999997</v>
      </c>
      <c r="O459" s="3066" t="s">
        <v>3560</v>
      </c>
      <c r="P459" s="3066" t="s">
        <v>3560</v>
      </c>
      <c r="Q459" s="3066">
        <v>0</v>
      </c>
      <c r="R459" s="3066">
        <v>0</v>
      </c>
      <c r="S459" s="3066" t="s">
        <v>3577</v>
      </c>
      <c r="T459" s="3066">
        <v>0</v>
      </c>
      <c r="U459" s="3066">
        <v>0</v>
      </c>
      <c r="V459" s="3066" t="s">
        <v>3560</v>
      </c>
      <c r="W459" s="3066" t="s">
        <v>3568</v>
      </c>
      <c r="X459" s="3066">
        <v>0</v>
      </c>
      <c r="Y459" s="3066">
        <v>0</v>
      </c>
      <c r="Z459" s="3066" t="s">
        <v>3568</v>
      </c>
      <c r="AA459" s="3066" t="s">
        <v>3560</v>
      </c>
      <c r="AB459" s="3066" t="s">
        <v>3560</v>
      </c>
      <c r="AC459" s="3066" t="s">
        <v>3560</v>
      </c>
      <c r="AD459" s="3066" t="s">
        <v>3560</v>
      </c>
      <c r="AE459" s="3066" t="s">
        <v>3560</v>
      </c>
      <c r="AF459" s="3067">
        <v>0</v>
      </c>
      <c r="AG459" s="3066">
        <v>0</v>
      </c>
      <c r="AH459" s="3066">
        <v>0</v>
      </c>
      <c r="AI459" s="3066">
        <v>0</v>
      </c>
      <c r="AJ459" s="3066">
        <v>0</v>
      </c>
      <c r="AK459" s="3066">
        <v>0</v>
      </c>
      <c r="AL459" s="3066">
        <v>0</v>
      </c>
      <c r="AM459" s="3066">
        <v>0</v>
      </c>
      <c r="AN459" s="3066" t="s">
        <v>3560</v>
      </c>
      <c r="AP459" s="3068">
        <f t="shared" si="7"/>
        <v>0</v>
      </c>
    </row>
    <row r="460" spans="2:42" ht="27" customHeight="1">
      <c r="B460" s="3066">
        <v>468</v>
      </c>
      <c r="C460" s="3066" t="s">
        <v>3167</v>
      </c>
      <c r="D460" s="3066" t="s">
        <v>3926</v>
      </c>
      <c r="E460" s="3066" t="s">
        <v>5120</v>
      </c>
      <c r="F460" s="3066" t="s">
        <v>3917</v>
      </c>
      <c r="G460" s="3066" t="s">
        <v>3560</v>
      </c>
      <c r="H460" s="3066" t="s">
        <v>3560</v>
      </c>
      <c r="I460" s="3066" t="s">
        <v>3560</v>
      </c>
      <c r="J460" s="3066" t="s">
        <v>3560</v>
      </c>
      <c r="K460" s="3066" t="s">
        <v>3560</v>
      </c>
      <c r="L460" s="3066" t="s">
        <v>3560</v>
      </c>
      <c r="M460" s="3066" t="s">
        <v>5121</v>
      </c>
      <c r="N460" s="3066">
        <v>40.299999999999997</v>
      </c>
      <c r="O460" s="3066" t="s">
        <v>3560</v>
      </c>
      <c r="P460" s="3066" t="s">
        <v>3560</v>
      </c>
      <c r="Q460" s="3066">
        <v>0</v>
      </c>
      <c r="R460" s="3066">
        <v>0</v>
      </c>
      <c r="S460" s="3066" t="s">
        <v>3577</v>
      </c>
      <c r="T460" s="3066">
        <v>0</v>
      </c>
      <c r="U460" s="3066">
        <v>0</v>
      </c>
      <c r="V460" s="3066" t="s">
        <v>3560</v>
      </c>
      <c r="W460" s="3066" t="s">
        <v>3568</v>
      </c>
      <c r="X460" s="3066">
        <v>0</v>
      </c>
      <c r="Y460" s="3066">
        <v>0</v>
      </c>
      <c r="Z460" s="3066" t="s">
        <v>3568</v>
      </c>
      <c r="AA460" s="3066" t="s">
        <v>3560</v>
      </c>
      <c r="AB460" s="3066" t="s">
        <v>3560</v>
      </c>
      <c r="AC460" s="3066" t="s">
        <v>3560</v>
      </c>
      <c r="AD460" s="3066" t="s">
        <v>3560</v>
      </c>
      <c r="AE460" s="3066" t="s">
        <v>3560</v>
      </c>
      <c r="AF460" s="3067">
        <v>0</v>
      </c>
      <c r="AG460" s="3066">
        <v>0</v>
      </c>
      <c r="AH460" s="3066">
        <v>0</v>
      </c>
      <c r="AI460" s="3066">
        <v>0</v>
      </c>
      <c r="AJ460" s="3066">
        <v>0</v>
      </c>
      <c r="AK460" s="3066">
        <v>0</v>
      </c>
      <c r="AL460" s="3066">
        <v>0</v>
      </c>
      <c r="AM460" s="3066">
        <v>0</v>
      </c>
      <c r="AN460" s="3066" t="s">
        <v>3560</v>
      </c>
      <c r="AP460" s="3068">
        <f t="shared" si="7"/>
        <v>0</v>
      </c>
    </row>
    <row r="461" spans="2:42" ht="27" customHeight="1">
      <c r="B461" s="3066">
        <v>469</v>
      </c>
      <c r="C461" s="3066" t="s">
        <v>3167</v>
      </c>
      <c r="D461" s="3066" t="s">
        <v>3926</v>
      </c>
      <c r="E461" s="3066" t="s">
        <v>5122</v>
      </c>
      <c r="F461" s="3066" t="s">
        <v>3917</v>
      </c>
      <c r="G461" s="3066" t="s">
        <v>3560</v>
      </c>
      <c r="H461" s="3066" t="s">
        <v>3560</v>
      </c>
      <c r="I461" s="3066" t="s">
        <v>3560</v>
      </c>
      <c r="J461" s="3066" t="s">
        <v>3560</v>
      </c>
      <c r="K461" s="3066" t="s">
        <v>3560</v>
      </c>
      <c r="L461" s="3066" t="s">
        <v>3560</v>
      </c>
      <c r="M461" s="3066" t="s">
        <v>5123</v>
      </c>
      <c r="N461" s="3066">
        <v>40.299999999999997</v>
      </c>
      <c r="O461" s="3066" t="s">
        <v>3560</v>
      </c>
      <c r="P461" s="3066" t="s">
        <v>3560</v>
      </c>
      <c r="Q461" s="3066">
        <v>0</v>
      </c>
      <c r="R461" s="3066">
        <v>0</v>
      </c>
      <c r="S461" s="3066" t="s">
        <v>3577</v>
      </c>
      <c r="T461" s="3066">
        <v>0</v>
      </c>
      <c r="U461" s="3066">
        <v>0</v>
      </c>
      <c r="V461" s="3066" t="s">
        <v>3560</v>
      </c>
      <c r="W461" s="3066" t="s">
        <v>3568</v>
      </c>
      <c r="X461" s="3066">
        <v>0</v>
      </c>
      <c r="Y461" s="3066">
        <v>0</v>
      </c>
      <c r="Z461" s="3066" t="s">
        <v>3568</v>
      </c>
      <c r="AA461" s="3066" t="s">
        <v>3560</v>
      </c>
      <c r="AB461" s="3066" t="s">
        <v>3560</v>
      </c>
      <c r="AC461" s="3066" t="s">
        <v>3560</v>
      </c>
      <c r="AD461" s="3066" t="s">
        <v>3560</v>
      </c>
      <c r="AE461" s="3066" t="s">
        <v>3560</v>
      </c>
      <c r="AF461" s="3067">
        <v>0</v>
      </c>
      <c r="AG461" s="3066">
        <v>0</v>
      </c>
      <c r="AH461" s="3066">
        <v>0</v>
      </c>
      <c r="AI461" s="3066">
        <v>0</v>
      </c>
      <c r="AJ461" s="3066">
        <v>0</v>
      </c>
      <c r="AK461" s="3066">
        <v>0</v>
      </c>
      <c r="AL461" s="3066">
        <v>0</v>
      </c>
      <c r="AM461" s="3066">
        <v>0</v>
      </c>
      <c r="AN461" s="3066" t="s">
        <v>3560</v>
      </c>
      <c r="AP461" s="3068">
        <f t="shared" si="7"/>
        <v>0</v>
      </c>
    </row>
    <row r="462" spans="2:42" ht="27" customHeight="1">
      <c r="B462" s="3066">
        <v>470</v>
      </c>
      <c r="C462" s="3066" t="s">
        <v>3167</v>
      </c>
      <c r="D462" s="3066" t="s">
        <v>3926</v>
      </c>
      <c r="E462" s="3066" t="s">
        <v>5124</v>
      </c>
      <c r="F462" s="3066" t="s">
        <v>3917</v>
      </c>
      <c r="G462" s="3066" t="s">
        <v>3560</v>
      </c>
      <c r="H462" s="3066" t="s">
        <v>3560</v>
      </c>
      <c r="I462" s="3066" t="s">
        <v>3560</v>
      </c>
      <c r="J462" s="3066" t="s">
        <v>3560</v>
      </c>
      <c r="K462" s="3066" t="s">
        <v>3560</v>
      </c>
      <c r="L462" s="3066" t="s">
        <v>3560</v>
      </c>
      <c r="M462" s="3066" t="s">
        <v>5125</v>
      </c>
      <c r="N462" s="3066">
        <v>40.299999999999997</v>
      </c>
      <c r="O462" s="3066" t="s">
        <v>3560</v>
      </c>
      <c r="P462" s="3066" t="s">
        <v>3560</v>
      </c>
      <c r="Q462" s="3066">
        <v>0</v>
      </c>
      <c r="R462" s="3066">
        <v>0</v>
      </c>
      <c r="S462" s="3066" t="s">
        <v>3577</v>
      </c>
      <c r="T462" s="3066">
        <v>0</v>
      </c>
      <c r="U462" s="3066">
        <v>0</v>
      </c>
      <c r="V462" s="3066" t="s">
        <v>3560</v>
      </c>
      <c r="W462" s="3066" t="s">
        <v>3568</v>
      </c>
      <c r="X462" s="3066">
        <v>0</v>
      </c>
      <c r="Y462" s="3066">
        <v>0</v>
      </c>
      <c r="Z462" s="3066" t="s">
        <v>3568</v>
      </c>
      <c r="AA462" s="3066" t="s">
        <v>3560</v>
      </c>
      <c r="AB462" s="3066" t="s">
        <v>3560</v>
      </c>
      <c r="AC462" s="3066" t="s">
        <v>3560</v>
      </c>
      <c r="AD462" s="3066" t="s">
        <v>3560</v>
      </c>
      <c r="AE462" s="3066" t="s">
        <v>3560</v>
      </c>
      <c r="AF462" s="3067">
        <v>0</v>
      </c>
      <c r="AG462" s="3066">
        <v>0</v>
      </c>
      <c r="AH462" s="3066">
        <v>0</v>
      </c>
      <c r="AI462" s="3066">
        <v>0</v>
      </c>
      <c r="AJ462" s="3066">
        <v>0</v>
      </c>
      <c r="AK462" s="3066">
        <v>0</v>
      </c>
      <c r="AL462" s="3066">
        <v>0</v>
      </c>
      <c r="AM462" s="3066">
        <v>0</v>
      </c>
      <c r="AN462" s="3066" t="s">
        <v>3560</v>
      </c>
      <c r="AP462" s="3068">
        <f t="shared" si="7"/>
        <v>0</v>
      </c>
    </row>
    <row r="463" spans="2:42" ht="27" customHeight="1">
      <c r="B463" s="3066">
        <v>471</v>
      </c>
      <c r="C463" s="3066" t="s">
        <v>3167</v>
      </c>
      <c r="D463" s="3066" t="s">
        <v>3926</v>
      </c>
      <c r="E463" s="3066" t="s">
        <v>5126</v>
      </c>
      <c r="F463" s="3066" t="s">
        <v>3917</v>
      </c>
      <c r="G463" s="3066" t="s">
        <v>3560</v>
      </c>
      <c r="H463" s="3066" t="s">
        <v>3560</v>
      </c>
      <c r="I463" s="3066" t="s">
        <v>3560</v>
      </c>
      <c r="J463" s="3066" t="s">
        <v>3560</v>
      </c>
      <c r="K463" s="3066" t="s">
        <v>3560</v>
      </c>
      <c r="L463" s="3066" t="s">
        <v>3560</v>
      </c>
      <c r="M463" s="3066" t="s">
        <v>5127</v>
      </c>
      <c r="N463" s="3066">
        <v>40.299999999999997</v>
      </c>
      <c r="O463" s="3066" t="s">
        <v>3560</v>
      </c>
      <c r="P463" s="3066" t="s">
        <v>3560</v>
      </c>
      <c r="Q463" s="3066">
        <v>0</v>
      </c>
      <c r="R463" s="3066">
        <v>0</v>
      </c>
      <c r="S463" s="3066" t="s">
        <v>3577</v>
      </c>
      <c r="T463" s="3066">
        <v>0</v>
      </c>
      <c r="U463" s="3066">
        <v>0</v>
      </c>
      <c r="V463" s="3066" t="s">
        <v>3560</v>
      </c>
      <c r="W463" s="3066" t="s">
        <v>3568</v>
      </c>
      <c r="X463" s="3066">
        <v>0</v>
      </c>
      <c r="Y463" s="3066">
        <v>0</v>
      </c>
      <c r="Z463" s="3066" t="s">
        <v>3568</v>
      </c>
      <c r="AA463" s="3066" t="s">
        <v>3560</v>
      </c>
      <c r="AB463" s="3066" t="s">
        <v>3560</v>
      </c>
      <c r="AC463" s="3066" t="s">
        <v>3560</v>
      </c>
      <c r="AD463" s="3066" t="s">
        <v>3560</v>
      </c>
      <c r="AE463" s="3066" t="s">
        <v>3560</v>
      </c>
      <c r="AF463" s="3067">
        <v>0</v>
      </c>
      <c r="AG463" s="3066">
        <v>0</v>
      </c>
      <c r="AH463" s="3066">
        <v>0</v>
      </c>
      <c r="AI463" s="3066">
        <v>0</v>
      </c>
      <c r="AJ463" s="3066">
        <v>0</v>
      </c>
      <c r="AK463" s="3066">
        <v>0</v>
      </c>
      <c r="AL463" s="3066">
        <v>0</v>
      </c>
      <c r="AM463" s="3066">
        <v>0</v>
      </c>
      <c r="AN463" s="3066" t="s">
        <v>3560</v>
      </c>
      <c r="AP463" s="3068">
        <f t="shared" si="7"/>
        <v>0</v>
      </c>
    </row>
    <row r="464" spans="2:42" ht="27" customHeight="1">
      <c r="B464" s="3066">
        <v>472</v>
      </c>
      <c r="C464" s="3066" t="s">
        <v>3167</v>
      </c>
      <c r="D464" s="3066" t="s">
        <v>3926</v>
      </c>
      <c r="E464" s="3066" t="s">
        <v>5128</v>
      </c>
      <c r="F464" s="3066" t="s">
        <v>3917</v>
      </c>
      <c r="G464" s="3066" t="s">
        <v>3560</v>
      </c>
      <c r="H464" s="3066" t="s">
        <v>3560</v>
      </c>
      <c r="I464" s="3066" t="s">
        <v>3560</v>
      </c>
      <c r="J464" s="3066" t="s">
        <v>3560</v>
      </c>
      <c r="K464" s="3066" t="s">
        <v>3560</v>
      </c>
      <c r="L464" s="3066" t="s">
        <v>3560</v>
      </c>
      <c r="M464" s="3066" t="s">
        <v>5129</v>
      </c>
      <c r="N464" s="3066">
        <v>40.299999999999997</v>
      </c>
      <c r="O464" s="3066" t="s">
        <v>3560</v>
      </c>
      <c r="P464" s="3066" t="s">
        <v>3560</v>
      </c>
      <c r="Q464" s="3066">
        <v>0</v>
      </c>
      <c r="R464" s="3066">
        <v>0</v>
      </c>
      <c r="S464" s="3066" t="s">
        <v>3577</v>
      </c>
      <c r="T464" s="3066">
        <v>0</v>
      </c>
      <c r="U464" s="3066">
        <v>0</v>
      </c>
      <c r="V464" s="3066" t="s">
        <v>3560</v>
      </c>
      <c r="W464" s="3066" t="s">
        <v>3568</v>
      </c>
      <c r="X464" s="3066">
        <v>0</v>
      </c>
      <c r="Y464" s="3066">
        <v>0</v>
      </c>
      <c r="Z464" s="3066" t="s">
        <v>3568</v>
      </c>
      <c r="AA464" s="3066" t="s">
        <v>3560</v>
      </c>
      <c r="AB464" s="3066" t="s">
        <v>3560</v>
      </c>
      <c r="AC464" s="3066" t="s">
        <v>3560</v>
      </c>
      <c r="AD464" s="3066" t="s">
        <v>3560</v>
      </c>
      <c r="AE464" s="3066" t="s">
        <v>3560</v>
      </c>
      <c r="AF464" s="3067">
        <v>0</v>
      </c>
      <c r="AG464" s="3066">
        <v>0</v>
      </c>
      <c r="AH464" s="3066">
        <v>0</v>
      </c>
      <c r="AI464" s="3066">
        <v>0</v>
      </c>
      <c r="AJ464" s="3066">
        <v>0</v>
      </c>
      <c r="AK464" s="3066">
        <v>0</v>
      </c>
      <c r="AL464" s="3066">
        <v>0</v>
      </c>
      <c r="AM464" s="3066">
        <v>0</v>
      </c>
      <c r="AN464" s="3066" t="s">
        <v>3560</v>
      </c>
      <c r="AP464" s="3068">
        <f t="shared" si="7"/>
        <v>0</v>
      </c>
    </row>
    <row r="465" spans="2:42" ht="27" customHeight="1">
      <c r="B465" s="3066">
        <v>473</v>
      </c>
      <c r="C465" s="3066" t="s">
        <v>3167</v>
      </c>
      <c r="D465" s="3066" t="s">
        <v>3926</v>
      </c>
      <c r="E465" s="3066" t="s">
        <v>5130</v>
      </c>
      <c r="F465" s="3066" t="s">
        <v>3917</v>
      </c>
      <c r="G465" s="3066" t="s">
        <v>3560</v>
      </c>
      <c r="H465" s="3066" t="s">
        <v>3560</v>
      </c>
      <c r="I465" s="3066" t="s">
        <v>3560</v>
      </c>
      <c r="J465" s="3066" t="s">
        <v>3560</v>
      </c>
      <c r="K465" s="3066" t="s">
        <v>3560</v>
      </c>
      <c r="L465" s="3066" t="s">
        <v>3560</v>
      </c>
      <c r="M465" s="3066" t="s">
        <v>5131</v>
      </c>
      <c r="N465" s="3066">
        <v>40.299999999999997</v>
      </c>
      <c r="O465" s="3066" t="s">
        <v>3560</v>
      </c>
      <c r="P465" s="3066" t="s">
        <v>3560</v>
      </c>
      <c r="Q465" s="3066">
        <v>0</v>
      </c>
      <c r="R465" s="3066">
        <v>0</v>
      </c>
      <c r="S465" s="3066" t="s">
        <v>3577</v>
      </c>
      <c r="T465" s="3066">
        <v>0</v>
      </c>
      <c r="U465" s="3066">
        <v>0</v>
      </c>
      <c r="V465" s="3066" t="s">
        <v>3560</v>
      </c>
      <c r="W465" s="3066" t="s">
        <v>3568</v>
      </c>
      <c r="X465" s="3066">
        <v>0</v>
      </c>
      <c r="Y465" s="3066">
        <v>0</v>
      </c>
      <c r="Z465" s="3066" t="s">
        <v>3568</v>
      </c>
      <c r="AA465" s="3066" t="s">
        <v>3560</v>
      </c>
      <c r="AB465" s="3066" t="s">
        <v>3560</v>
      </c>
      <c r="AC465" s="3066" t="s">
        <v>3560</v>
      </c>
      <c r="AD465" s="3066" t="s">
        <v>3560</v>
      </c>
      <c r="AE465" s="3066" t="s">
        <v>3560</v>
      </c>
      <c r="AF465" s="3067">
        <v>0</v>
      </c>
      <c r="AG465" s="3066">
        <v>0</v>
      </c>
      <c r="AH465" s="3066">
        <v>0</v>
      </c>
      <c r="AI465" s="3066">
        <v>0</v>
      </c>
      <c r="AJ465" s="3066">
        <v>0</v>
      </c>
      <c r="AK465" s="3066">
        <v>0</v>
      </c>
      <c r="AL465" s="3066">
        <v>0</v>
      </c>
      <c r="AM465" s="3066">
        <v>0</v>
      </c>
      <c r="AN465" s="3066" t="s">
        <v>3560</v>
      </c>
      <c r="AP465" s="3068">
        <f t="shared" si="7"/>
        <v>0</v>
      </c>
    </row>
    <row r="466" spans="2:42" ht="27" customHeight="1">
      <c r="B466" s="3066">
        <v>474</v>
      </c>
      <c r="C466" s="3066" t="s">
        <v>3167</v>
      </c>
      <c r="D466" s="3066" t="s">
        <v>3926</v>
      </c>
      <c r="E466" s="3066" t="s">
        <v>5132</v>
      </c>
      <c r="F466" s="3066" t="s">
        <v>3917</v>
      </c>
      <c r="G466" s="3066" t="s">
        <v>3560</v>
      </c>
      <c r="H466" s="3066" t="s">
        <v>3560</v>
      </c>
      <c r="I466" s="3066" t="s">
        <v>3560</v>
      </c>
      <c r="J466" s="3066" t="s">
        <v>3560</v>
      </c>
      <c r="K466" s="3066" t="s">
        <v>3560</v>
      </c>
      <c r="L466" s="3066" t="s">
        <v>3560</v>
      </c>
      <c r="M466" s="3066" t="s">
        <v>5133</v>
      </c>
      <c r="N466" s="3066">
        <v>40.299999999999997</v>
      </c>
      <c r="O466" s="3066" t="s">
        <v>3560</v>
      </c>
      <c r="P466" s="3066" t="s">
        <v>3560</v>
      </c>
      <c r="Q466" s="3066">
        <v>0</v>
      </c>
      <c r="R466" s="3066">
        <v>0</v>
      </c>
      <c r="S466" s="3066" t="s">
        <v>3577</v>
      </c>
      <c r="T466" s="3066">
        <v>0</v>
      </c>
      <c r="U466" s="3066">
        <v>0</v>
      </c>
      <c r="V466" s="3066" t="s">
        <v>3560</v>
      </c>
      <c r="W466" s="3066" t="s">
        <v>3568</v>
      </c>
      <c r="X466" s="3066">
        <v>0</v>
      </c>
      <c r="Y466" s="3066">
        <v>0</v>
      </c>
      <c r="Z466" s="3066" t="s">
        <v>3568</v>
      </c>
      <c r="AA466" s="3066" t="s">
        <v>3560</v>
      </c>
      <c r="AB466" s="3066" t="s">
        <v>3560</v>
      </c>
      <c r="AC466" s="3066" t="s">
        <v>3560</v>
      </c>
      <c r="AD466" s="3066" t="s">
        <v>3560</v>
      </c>
      <c r="AE466" s="3066" t="s">
        <v>3560</v>
      </c>
      <c r="AF466" s="3067">
        <v>0</v>
      </c>
      <c r="AG466" s="3066">
        <v>0</v>
      </c>
      <c r="AH466" s="3066">
        <v>0</v>
      </c>
      <c r="AI466" s="3066">
        <v>0</v>
      </c>
      <c r="AJ466" s="3066">
        <v>0</v>
      </c>
      <c r="AK466" s="3066">
        <v>0</v>
      </c>
      <c r="AL466" s="3066">
        <v>0</v>
      </c>
      <c r="AM466" s="3066">
        <v>0</v>
      </c>
      <c r="AN466" s="3066" t="s">
        <v>3560</v>
      </c>
      <c r="AP466" s="3068">
        <f t="shared" si="7"/>
        <v>0</v>
      </c>
    </row>
    <row r="467" spans="2:42" ht="27" customHeight="1">
      <c r="B467" s="3066">
        <v>475</v>
      </c>
      <c r="C467" s="3066" t="s">
        <v>3167</v>
      </c>
      <c r="D467" s="3066" t="s">
        <v>3926</v>
      </c>
      <c r="E467" s="3066" t="s">
        <v>5134</v>
      </c>
      <c r="F467" s="3066" t="s">
        <v>3917</v>
      </c>
      <c r="G467" s="3066" t="s">
        <v>3560</v>
      </c>
      <c r="H467" s="3066" t="s">
        <v>3560</v>
      </c>
      <c r="I467" s="3066" t="s">
        <v>3560</v>
      </c>
      <c r="J467" s="3066" t="s">
        <v>3560</v>
      </c>
      <c r="K467" s="3066" t="s">
        <v>3560</v>
      </c>
      <c r="L467" s="3066" t="s">
        <v>3560</v>
      </c>
      <c r="M467" s="3066" t="s">
        <v>5135</v>
      </c>
      <c r="N467" s="3066">
        <v>46.3</v>
      </c>
      <c r="O467" s="3066" t="s">
        <v>3560</v>
      </c>
      <c r="P467" s="3066" t="s">
        <v>3560</v>
      </c>
      <c r="Q467" s="3066">
        <v>0</v>
      </c>
      <c r="R467" s="3066">
        <v>0</v>
      </c>
      <c r="S467" s="3066" t="s">
        <v>3577</v>
      </c>
      <c r="T467" s="3066">
        <v>0</v>
      </c>
      <c r="U467" s="3066">
        <v>0</v>
      </c>
      <c r="V467" s="3066" t="s">
        <v>3560</v>
      </c>
      <c r="W467" s="3066" t="s">
        <v>3568</v>
      </c>
      <c r="X467" s="3066">
        <v>0</v>
      </c>
      <c r="Y467" s="3066">
        <v>0</v>
      </c>
      <c r="Z467" s="3066" t="s">
        <v>3568</v>
      </c>
      <c r="AA467" s="3066" t="s">
        <v>3560</v>
      </c>
      <c r="AB467" s="3066" t="s">
        <v>3560</v>
      </c>
      <c r="AC467" s="3066" t="s">
        <v>3560</v>
      </c>
      <c r="AD467" s="3066" t="s">
        <v>3560</v>
      </c>
      <c r="AE467" s="3066" t="s">
        <v>3560</v>
      </c>
      <c r="AF467" s="3067">
        <v>0</v>
      </c>
      <c r="AG467" s="3066">
        <v>0</v>
      </c>
      <c r="AH467" s="3066">
        <v>0</v>
      </c>
      <c r="AI467" s="3066">
        <v>0</v>
      </c>
      <c r="AJ467" s="3066">
        <v>0</v>
      </c>
      <c r="AK467" s="3066">
        <v>0</v>
      </c>
      <c r="AL467" s="3066">
        <v>0</v>
      </c>
      <c r="AM467" s="3066">
        <v>0</v>
      </c>
      <c r="AN467" s="3066" t="s">
        <v>3560</v>
      </c>
      <c r="AP467" s="3068">
        <f t="shared" si="7"/>
        <v>0</v>
      </c>
    </row>
    <row r="468" spans="2:42" ht="27" customHeight="1">
      <c r="B468" s="3066">
        <v>476</v>
      </c>
      <c r="C468" s="3066" t="s">
        <v>3167</v>
      </c>
      <c r="D468" s="3066" t="s">
        <v>3972</v>
      </c>
      <c r="E468" s="3066" t="s">
        <v>5136</v>
      </c>
      <c r="F468" s="3066" t="s">
        <v>3917</v>
      </c>
      <c r="G468" s="3066" t="s">
        <v>3560</v>
      </c>
      <c r="H468" s="3066" t="s">
        <v>3560</v>
      </c>
      <c r="I468" s="3066" t="s">
        <v>3560</v>
      </c>
      <c r="J468" s="3066" t="s">
        <v>3560</v>
      </c>
      <c r="K468" s="3066" t="s">
        <v>3560</v>
      </c>
      <c r="L468" s="3066" t="s">
        <v>3560</v>
      </c>
      <c r="M468" s="3066" t="s">
        <v>5137</v>
      </c>
      <c r="N468" s="3066">
        <v>40.299999999999997</v>
      </c>
      <c r="O468" s="3066" t="s">
        <v>3560</v>
      </c>
      <c r="P468" s="3066" t="s">
        <v>3560</v>
      </c>
      <c r="Q468" s="3066">
        <v>0</v>
      </c>
      <c r="R468" s="3066">
        <v>0</v>
      </c>
      <c r="S468" s="3066" t="s">
        <v>3577</v>
      </c>
      <c r="T468" s="3066">
        <v>0</v>
      </c>
      <c r="U468" s="3066">
        <v>0</v>
      </c>
      <c r="V468" s="3066" t="s">
        <v>3560</v>
      </c>
      <c r="W468" s="3066" t="s">
        <v>3568</v>
      </c>
      <c r="X468" s="3066">
        <v>0</v>
      </c>
      <c r="Y468" s="3066">
        <v>0</v>
      </c>
      <c r="Z468" s="3066" t="s">
        <v>3568</v>
      </c>
      <c r="AA468" s="3066" t="s">
        <v>3560</v>
      </c>
      <c r="AB468" s="3066" t="s">
        <v>3560</v>
      </c>
      <c r="AC468" s="3066" t="s">
        <v>3560</v>
      </c>
      <c r="AD468" s="3066" t="s">
        <v>3560</v>
      </c>
      <c r="AE468" s="3066" t="s">
        <v>3560</v>
      </c>
      <c r="AF468" s="3067">
        <v>0</v>
      </c>
      <c r="AG468" s="3066">
        <v>0</v>
      </c>
      <c r="AH468" s="3066">
        <v>0</v>
      </c>
      <c r="AI468" s="3066">
        <v>0</v>
      </c>
      <c r="AJ468" s="3066">
        <v>0</v>
      </c>
      <c r="AK468" s="3066">
        <v>0</v>
      </c>
      <c r="AL468" s="3066">
        <v>0</v>
      </c>
      <c r="AM468" s="3066">
        <v>0</v>
      </c>
      <c r="AN468" s="3066" t="s">
        <v>3560</v>
      </c>
      <c r="AP468" s="3068">
        <f t="shared" si="7"/>
        <v>0</v>
      </c>
    </row>
    <row r="469" spans="2:42" ht="27" customHeight="1">
      <c r="B469" s="3066">
        <v>477</v>
      </c>
      <c r="C469" s="3066" t="s">
        <v>3167</v>
      </c>
      <c r="D469" s="3066" t="s">
        <v>3972</v>
      </c>
      <c r="E469" s="3066" t="s">
        <v>5138</v>
      </c>
      <c r="F469" s="3066" t="s">
        <v>3917</v>
      </c>
      <c r="G469" s="3066" t="s">
        <v>3560</v>
      </c>
      <c r="H469" s="3066" t="s">
        <v>3560</v>
      </c>
      <c r="I469" s="3066" t="s">
        <v>3560</v>
      </c>
      <c r="J469" s="3066" t="s">
        <v>3560</v>
      </c>
      <c r="K469" s="3066" t="s">
        <v>3560</v>
      </c>
      <c r="L469" s="3066" t="s">
        <v>3560</v>
      </c>
      <c r="M469" s="3066" t="s">
        <v>5139</v>
      </c>
      <c r="N469" s="3066">
        <v>40.299999999999997</v>
      </c>
      <c r="O469" s="3066" t="s">
        <v>3560</v>
      </c>
      <c r="P469" s="3066" t="s">
        <v>3560</v>
      </c>
      <c r="Q469" s="3066">
        <v>0</v>
      </c>
      <c r="R469" s="3066">
        <v>0</v>
      </c>
      <c r="S469" s="3066" t="s">
        <v>3577</v>
      </c>
      <c r="T469" s="3066">
        <v>0</v>
      </c>
      <c r="U469" s="3066">
        <v>0</v>
      </c>
      <c r="V469" s="3066" t="s">
        <v>3560</v>
      </c>
      <c r="W469" s="3066" t="s">
        <v>3568</v>
      </c>
      <c r="X469" s="3066">
        <v>0</v>
      </c>
      <c r="Y469" s="3066">
        <v>0</v>
      </c>
      <c r="Z469" s="3066" t="s">
        <v>3568</v>
      </c>
      <c r="AA469" s="3066" t="s">
        <v>3560</v>
      </c>
      <c r="AB469" s="3066" t="s">
        <v>3560</v>
      </c>
      <c r="AC469" s="3066" t="s">
        <v>3560</v>
      </c>
      <c r="AD469" s="3066" t="s">
        <v>3560</v>
      </c>
      <c r="AE469" s="3066" t="s">
        <v>3560</v>
      </c>
      <c r="AF469" s="3067">
        <v>0</v>
      </c>
      <c r="AG469" s="3066">
        <v>0</v>
      </c>
      <c r="AH469" s="3066">
        <v>0</v>
      </c>
      <c r="AI469" s="3066">
        <v>0</v>
      </c>
      <c r="AJ469" s="3066">
        <v>0</v>
      </c>
      <c r="AK469" s="3066">
        <v>0</v>
      </c>
      <c r="AL469" s="3066">
        <v>0</v>
      </c>
      <c r="AM469" s="3066">
        <v>0</v>
      </c>
      <c r="AN469" s="3066" t="s">
        <v>3560</v>
      </c>
      <c r="AP469" s="3068">
        <f t="shared" si="7"/>
        <v>0</v>
      </c>
    </row>
    <row r="470" spans="2:42" ht="27" customHeight="1">
      <c r="B470" s="3066">
        <v>478</v>
      </c>
      <c r="C470" s="3066" t="s">
        <v>3167</v>
      </c>
      <c r="D470" s="3066" t="s">
        <v>3972</v>
      </c>
      <c r="E470" s="3066" t="s">
        <v>5140</v>
      </c>
      <c r="F470" s="3066" t="s">
        <v>3917</v>
      </c>
      <c r="G470" s="3066" t="s">
        <v>3560</v>
      </c>
      <c r="H470" s="3066" t="s">
        <v>3560</v>
      </c>
      <c r="I470" s="3066" t="s">
        <v>3560</v>
      </c>
      <c r="J470" s="3066" t="s">
        <v>3560</v>
      </c>
      <c r="K470" s="3066" t="s">
        <v>3560</v>
      </c>
      <c r="L470" s="3066" t="s">
        <v>3560</v>
      </c>
      <c r="M470" s="3066" t="s">
        <v>5141</v>
      </c>
      <c r="N470" s="3066">
        <v>40.299999999999997</v>
      </c>
      <c r="O470" s="3066" t="s">
        <v>3560</v>
      </c>
      <c r="P470" s="3066" t="s">
        <v>3560</v>
      </c>
      <c r="Q470" s="3066">
        <v>0</v>
      </c>
      <c r="R470" s="3066">
        <v>0</v>
      </c>
      <c r="S470" s="3066" t="s">
        <v>3577</v>
      </c>
      <c r="T470" s="3066">
        <v>0</v>
      </c>
      <c r="U470" s="3066">
        <v>0</v>
      </c>
      <c r="V470" s="3066" t="s">
        <v>3560</v>
      </c>
      <c r="W470" s="3066" t="s">
        <v>3568</v>
      </c>
      <c r="X470" s="3066">
        <v>0</v>
      </c>
      <c r="Y470" s="3066">
        <v>0</v>
      </c>
      <c r="Z470" s="3066" t="s">
        <v>3568</v>
      </c>
      <c r="AA470" s="3066" t="s">
        <v>3560</v>
      </c>
      <c r="AB470" s="3066" t="s">
        <v>3560</v>
      </c>
      <c r="AC470" s="3066" t="s">
        <v>3560</v>
      </c>
      <c r="AD470" s="3066" t="s">
        <v>3560</v>
      </c>
      <c r="AE470" s="3066" t="s">
        <v>3560</v>
      </c>
      <c r="AF470" s="3067">
        <v>0</v>
      </c>
      <c r="AG470" s="3066">
        <v>0</v>
      </c>
      <c r="AH470" s="3066">
        <v>0</v>
      </c>
      <c r="AI470" s="3066">
        <v>0</v>
      </c>
      <c r="AJ470" s="3066">
        <v>0</v>
      </c>
      <c r="AK470" s="3066">
        <v>0</v>
      </c>
      <c r="AL470" s="3066">
        <v>0</v>
      </c>
      <c r="AM470" s="3066">
        <v>0</v>
      </c>
      <c r="AN470" s="3066" t="s">
        <v>3560</v>
      </c>
      <c r="AP470" s="3068">
        <f t="shared" si="7"/>
        <v>0</v>
      </c>
    </row>
    <row r="471" spans="2:42" ht="27" customHeight="1">
      <c r="B471" s="3066">
        <v>479</v>
      </c>
      <c r="C471" s="3066" t="s">
        <v>3167</v>
      </c>
      <c r="D471" s="3066" t="s">
        <v>3972</v>
      </c>
      <c r="E471" s="3066" t="s">
        <v>5142</v>
      </c>
      <c r="F471" s="3066" t="s">
        <v>3917</v>
      </c>
      <c r="G471" s="3066" t="s">
        <v>3560</v>
      </c>
      <c r="H471" s="3066" t="s">
        <v>3560</v>
      </c>
      <c r="I471" s="3066" t="s">
        <v>3560</v>
      </c>
      <c r="J471" s="3066" t="s">
        <v>3560</v>
      </c>
      <c r="K471" s="3066" t="s">
        <v>3560</v>
      </c>
      <c r="L471" s="3066" t="s">
        <v>3560</v>
      </c>
      <c r="M471" s="3066" t="s">
        <v>5143</v>
      </c>
      <c r="N471" s="3066">
        <v>40.299999999999997</v>
      </c>
      <c r="O471" s="3066" t="s">
        <v>3560</v>
      </c>
      <c r="P471" s="3066" t="s">
        <v>3560</v>
      </c>
      <c r="Q471" s="3066">
        <v>0</v>
      </c>
      <c r="R471" s="3066">
        <v>0</v>
      </c>
      <c r="S471" s="3066" t="s">
        <v>3577</v>
      </c>
      <c r="T471" s="3066">
        <v>0</v>
      </c>
      <c r="U471" s="3066">
        <v>0</v>
      </c>
      <c r="V471" s="3066" t="s">
        <v>3560</v>
      </c>
      <c r="W471" s="3066" t="s">
        <v>3568</v>
      </c>
      <c r="X471" s="3066">
        <v>0</v>
      </c>
      <c r="Y471" s="3066">
        <v>0</v>
      </c>
      <c r="Z471" s="3066" t="s">
        <v>3568</v>
      </c>
      <c r="AA471" s="3066" t="s">
        <v>3560</v>
      </c>
      <c r="AB471" s="3066" t="s">
        <v>3560</v>
      </c>
      <c r="AC471" s="3066" t="s">
        <v>3560</v>
      </c>
      <c r="AD471" s="3066" t="s">
        <v>3560</v>
      </c>
      <c r="AE471" s="3066" t="s">
        <v>3560</v>
      </c>
      <c r="AF471" s="3067">
        <v>0</v>
      </c>
      <c r="AG471" s="3066">
        <v>0</v>
      </c>
      <c r="AH471" s="3066">
        <v>0</v>
      </c>
      <c r="AI471" s="3066">
        <v>0</v>
      </c>
      <c r="AJ471" s="3066">
        <v>0</v>
      </c>
      <c r="AK471" s="3066">
        <v>0</v>
      </c>
      <c r="AL471" s="3066">
        <v>0</v>
      </c>
      <c r="AM471" s="3066">
        <v>0</v>
      </c>
      <c r="AN471" s="3066" t="s">
        <v>3560</v>
      </c>
      <c r="AP471" s="3068">
        <f t="shared" si="7"/>
        <v>0</v>
      </c>
    </row>
    <row r="472" spans="2:42" ht="27" customHeight="1">
      <c r="B472" s="3066">
        <v>480</v>
      </c>
      <c r="C472" s="3066" t="s">
        <v>3167</v>
      </c>
      <c r="D472" s="3066" t="s">
        <v>3972</v>
      </c>
      <c r="E472" s="3066" t="s">
        <v>5144</v>
      </c>
      <c r="F472" s="3066" t="s">
        <v>3917</v>
      </c>
      <c r="G472" s="3066" t="s">
        <v>3560</v>
      </c>
      <c r="H472" s="3066" t="s">
        <v>3560</v>
      </c>
      <c r="I472" s="3066" t="s">
        <v>3560</v>
      </c>
      <c r="J472" s="3066" t="s">
        <v>3560</v>
      </c>
      <c r="K472" s="3066" t="s">
        <v>3560</v>
      </c>
      <c r="L472" s="3066" t="s">
        <v>3560</v>
      </c>
      <c r="M472" s="3066" t="s">
        <v>5145</v>
      </c>
      <c r="N472" s="3066">
        <v>40.299999999999997</v>
      </c>
      <c r="O472" s="3066" t="s">
        <v>3560</v>
      </c>
      <c r="P472" s="3066" t="s">
        <v>3560</v>
      </c>
      <c r="Q472" s="3066">
        <v>0</v>
      </c>
      <c r="R472" s="3066">
        <v>0</v>
      </c>
      <c r="S472" s="3066" t="s">
        <v>3577</v>
      </c>
      <c r="T472" s="3066">
        <v>0</v>
      </c>
      <c r="U472" s="3066">
        <v>0</v>
      </c>
      <c r="V472" s="3066" t="s">
        <v>3560</v>
      </c>
      <c r="W472" s="3066" t="s">
        <v>3568</v>
      </c>
      <c r="X472" s="3066">
        <v>0</v>
      </c>
      <c r="Y472" s="3066">
        <v>0</v>
      </c>
      <c r="Z472" s="3066" t="s">
        <v>3568</v>
      </c>
      <c r="AA472" s="3066" t="s">
        <v>3560</v>
      </c>
      <c r="AB472" s="3066" t="s">
        <v>3560</v>
      </c>
      <c r="AC472" s="3066" t="s">
        <v>3560</v>
      </c>
      <c r="AD472" s="3066" t="s">
        <v>3560</v>
      </c>
      <c r="AE472" s="3066" t="s">
        <v>3560</v>
      </c>
      <c r="AF472" s="3067">
        <v>0</v>
      </c>
      <c r="AG472" s="3066">
        <v>0</v>
      </c>
      <c r="AH472" s="3066">
        <v>0</v>
      </c>
      <c r="AI472" s="3066">
        <v>0</v>
      </c>
      <c r="AJ472" s="3066">
        <v>0</v>
      </c>
      <c r="AK472" s="3066">
        <v>0</v>
      </c>
      <c r="AL472" s="3066">
        <v>0</v>
      </c>
      <c r="AM472" s="3066">
        <v>0</v>
      </c>
      <c r="AN472" s="3066" t="s">
        <v>3560</v>
      </c>
      <c r="AP472" s="3068">
        <f t="shared" si="7"/>
        <v>0</v>
      </c>
    </row>
    <row r="473" spans="2:42" ht="27" customHeight="1">
      <c r="B473" s="3066">
        <v>481</v>
      </c>
      <c r="C473" s="3066" t="s">
        <v>3167</v>
      </c>
      <c r="D473" s="3066" t="s">
        <v>3972</v>
      </c>
      <c r="E473" s="3066" t="s">
        <v>5146</v>
      </c>
      <c r="F473" s="3066" t="s">
        <v>3917</v>
      </c>
      <c r="G473" s="3066" t="s">
        <v>3560</v>
      </c>
      <c r="H473" s="3066" t="s">
        <v>3560</v>
      </c>
      <c r="I473" s="3066" t="s">
        <v>3560</v>
      </c>
      <c r="J473" s="3066" t="s">
        <v>3560</v>
      </c>
      <c r="K473" s="3066" t="s">
        <v>3560</v>
      </c>
      <c r="L473" s="3066" t="s">
        <v>3560</v>
      </c>
      <c r="M473" s="3066" t="s">
        <v>5147</v>
      </c>
      <c r="N473" s="3066">
        <v>40.299999999999997</v>
      </c>
      <c r="O473" s="3066" t="s">
        <v>3560</v>
      </c>
      <c r="P473" s="3066" t="s">
        <v>3560</v>
      </c>
      <c r="Q473" s="3066">
        <v>0</v>
      </c>
      <c r="R473" s="3066">
        <v>0</v>
      </c>
      <c r="S473" s="3066" t="s">
        <v>3577</v>
      </c>
      <c r="T473" s="3066">
        <v>0</v>
      </c>
      <c r="U473" s="3066">
        <v>0</v>
      </c>
      <c r="V473" s="3066" t="s">
        <v>3560</v>
      </c>
      <c r="W473" s="3066" t="s">
        <v>3568</v>
      </c>
      <c r="X473" s="3066">
        <v>0</v>
      </c>
      <c r="Y473" s="3066">
        <v>0</v>
      </c>
      <c r="Z473" s="3066" t="s">
        <v>3568</v>
      </c>
      <c r="AA473" s="3066" t="s">
        <v>3560</v>
      </c>
      <c r="AB473" s="3066" t="s">
        <v>3560</v>
      </c>
      <c r="AC473" s="3066" t="s">
        <v>3560</v>
      </c>
      <c r="AD473" s="3066" t="s">
        <v>3560</v>
      </c>
      <c r="AE473" s="3066" t="s">
        <v>3560</v>
      </c>
      <c r="AF473" s="3067">
        <v>0</v>
      </c>
      <c r="AG473" s="3066">
        <v>0</v>
      </c>
      <c r="AH473" s="3066">
        <v>0</v>
      </c>
      <c r="AI473" s="3066">
        <v>0</v>
      </c>
      <c r="AJ473" s="3066">
        <v>0</v>
      </c>
      <c r="AK473" s="3066">
        <v>0</v>
      </c>
      <c r="AL473" s="3066">
        <v>0</v>
      </c>
      <c r="AM473" s="3066">
        <v>0</v>
      </c>
      <c r="AN473" s="3066" t="s">
        <v>3560</v>
      </c>
      <c r="AP473" s="3068">
        <f t="shared" si="7"/>
        <v>0</v>
      </c>
    </row>
    <row r="474" spans="2:42" ht="27" customHeight="1">
      <c r="B474" s="3066">
        <v>482</v>
      </c>
      <c r="C474" s="3066" t="s">
        <v>3167</v>
      </c>
      <c r="D474" s="3066" t="s">
        <v>3972</v>
      </c>
      <c r="E474" s="3066" t="s">
        <v>5148</v>
      </c>
      <c r="F474" s="3066" t="s">
        <v>3917</v>
      </c>
      <c r="G474" s="3066" t="s">
        <v>3560</v>
      </c>
      <c r="H474" s="3066" t="s">
        <v>3560</v>
      </c>
      <c r="I474" s="3066" t="s">
        <v>3560</v>
      </c>
      <c r="J474" s="3066" t="s">
        <v>3560</v>
      </c>
      <c r="K474" s="3066" t="s">
        <v>3560</v>
      </c>
      <c r="L474" s="3066" t="s">
        <v>3560</v>
      </c>
      <c r="M474" s="3066" t="s">
        <v>5149</v>
      </c>
      <c r="N474" s="3066">
        <v>40.299999999999997</v>
      </c>
      <c r="O474" s="3066" t="s">
        <v>3560</v>
      </c>
      <c r="P474" s="3066" t="s">
        <v>3560</v>
      </c>
      <c r="Q474" s="3066">
        <v>0</v>
      </c>
      <c r="R474" s="3066">
        <v>0</v>
      </c>
      <c r="S474" s="3066" t="s">
        <v>3577</v>
      </c>
      <c r="T474" s="3066">
        <v>0</v>
      </c>
      <c r="U474" s="3066">
        <v>0</v>
      </c>
      <c r="V474" s="3066" t="s">
        <v>3560</v>
      </c>
      <c r="W474" s="3066" t="s">
        <v>3568</v>
      </c>
      <c r="X474" s="3066">
        <v>0</v>
      </c>
      <c r="Y474" s="3066">
        <v>0</v>
      </c>
      <c r="Z474" s="3066" t="s">
        <v>3568</v>
      </c>
      <c r="AA474" s="3066" t="s">
        <v>3560</v>
      </c>
      <c r="AB474" s="3066" t="s">
        <v>3560</v>
      </c>
      <c r="AC474" s="3066" t="s">
        <v>3560</v>
      </c>
      <c r="AD474" s="3066" t="s">
        <v>3560</v>
      </c>
      <c r="AE474" s="3066" t="s">
        <v>3560</v>
      </c>
      <c r="AF474" s="3067">
        <v>0</v>
      </c>
      <c r="AG474" s="3066">
        <v>0</v>
      </c>
      <c r="AH474" s="3066">
        <v>0</v>
      </c>
      <c r="AI474" s="3066">
        <v>0</v>
      </c>
      <c r="AJ474" s="3066">
        <v>0</v>
      </c>
      <c r="AK474" s="3066">
        <v>0</v>
      </c>
      <c r="AL474" s="3066">
        <v>0</v>
      </c>
      <c r="AM474" s="3066">
        <v>0</v>
      </c>
      <c r="AN474" s="3066" t="s">
        <v>3560</v>
      </c>
      <c r="AP474" s="3068">
        <f t="shared" si="7"/>
        <v>0</v>
      </c>
    </row>
    <row r="475" spans="2:42" ht="27" customHeight="1">
      <c r="B475" s="3066">
        <v>483</v>
      </c>
      <c r="C475" s="3066" t="s">
        <v>3167</v>
      </c>
      <c r="D475" s="3066" t="s">
        <v>3972</v>
      </c>
      <c r="E475" s="3066" t="s">
        <v>5150</v>
      </c>
      <c r="F475" s="3066" t="s">
        <v>3917</v>
      </c>
      <c r="G475" s="3066" t="s">
        <v>3560</v>
      </c>
      <c r="H475" s="3066" t="s">
        <v>3560</v>
      </c>
      <c r="I475" s="3066" t="s">
        <v>3560</v>
      </c>
      <c r="J475" s="3066" t="s">
        <v>3560</v>
      </c>
      <c r="K475" s="3066" t="s">
        <v>3560</v>
      </c>
      <c r="L475" s="3066" t="s">
        <v>3560</v>
      </c>
      <c r="M475" s="3066" t="s">
        <v>5151</v>
      </c>
      <c r="N475" s="3066">
        <v>40.299999999999997</v>
      </c>
      <c r="O475" s="3066" t="s">
        <v>3560</v>
      </c>
      <c r="P475" s="3066" t="s">
        <v>3560</v>
      </c>
      <c r="Q475" s="3066">
        <v>0</v>
      </c>
      <c r="R475" s="3066">
        <v>0</v>
      </c>
      <c r="S475" s="3066" t="s">
        <v>3577</v>
      </c>
      <c r="T475" s="3066">
        <v>0</v>
      </c>
      <c r="U475" s="3066">
        <v>0</v>
      </c>
      <c r="V475" s="3066" t="s">
        <v>3560</v>
      </c>
      <c r="W475" s="3066" t="s">
        <v>3568</v>
      </c>
      <c r="X475" s="3066">
        <v>0</v>
      </c>
      <c r="Y475" s="3066">
        <v>0</v>
      </c>
      <c r="Z475" s="3066" t="s">
        <v>3568</v>
      </c>
      <c r="AA475" s="3066" t="s">
        <v>3560</v>
      </c>
      <c r="AB475" s="3066" t="s">
        <v>3560</v>
      </c>
      <c r="AC475" s="3066" t="s">
        <v>3560</v>
      </c>
      <c r="AD475" s="3066" t="s">
        <v>3560</v>
      </c>
      <c r="AE475" s="3066" t="s">
        <v>3560</v>
      </c>
      <c r="AF475" s="3067">
        <v>0</v>
      </c>
      <c r="AG475" s="3066">
        <v>0</v>
      </c>
      <c r="AH475" s="3066">
        <v>0</v>
      </c>
      <c r="AI475" s="3066">
        <v>0</v>
      </c>
      <c r="AJ475" s="3066">
        <v>0</v>
      </c>
      <c r="AK475" s="3066">
        <v>0</v>
      </c>
      <c r="AL475" s="3066">
        <v>0</v>
      </c>
      <c r="AM475" s="3066">
        <v>0</v>
      </c>
      <c r="AN475" s="3066" t="s">
        <v>3560</v>
      </c>
      <c r="AP475" s="3068">
        <f t="shared" si="7"/>
        <v>0</v>
      </c>
    </row>
    <row r="476" spans="2:42" ht="27" customHeight="1">
      <c r="B476" s="3066">
        <v>484</v>
      </c>
      <c r="C476" s="3066" t="s">
        <v>3167</v>
      </c>
      <c r="D476" s="3066" t="s">
        <v>3972</v>
      </c>
      <c r="E476" s="3066" t="s">
        <v>5152</v>
      </c>
      <c r="F476" s="3066" t="s">
        <v>3917</v>
      </c>
      <c r="G476" s="3066" t="s">
        <v>3560</v>
      </c>
      <c r="H476" s="3066" t="s">
        <v>3560</v>
      </c>
      <c r="I476" s="3066" t="s">
        <v>3560</v>
      </c>
      <c r="J476" s="3066" t="s">
        <v>3560</v>
      </c>
      <c r="K476" s="3066" t="s">
        <v>3560</v>
      </c>
      <c r="L476" s="3066" t="s">
        <v>3560</v>
      </c>
      <c r="M476" s="3066" t="s">
        <v>5153</v>
      </c>
      <c r="N476" s="3066">
        <v>40.299999999999997</v>
      </c>
      <c r="O476" s="3066" t="s">
        <v>3560</v>
      </c>
      <c r="P476" s="3066" t="s">
        <v>3560</v>
      </c>
      <c r="Q476" s="3066">
        <v>0</v>
      </c>
      <c r="R476" s="3066">
        <v>0</v>
      </c>
      <c r="S476" s="3066" t="s">
        <v>3577</v>
      </c>
      <c r="T476" s="3066">
        <v>0</v>
      </c>
      <c r="U476" s="3066">
        <v>0</v>
      </c>
      <c r="V476" s="3066" t="s">
        <v>3560</v>
      </c>
      <c r="W476" s="3066" t="s">
        <v>3568</v>
      </c>
      <c r="X476" s="3066">
        <v>0</v>
      </c>
      <c r="Y476" s="3066">
        <v>0</v>
      </c>
      <c r="Z476" s="3066" t="s">
        <v>3568</v>
      </c>
      <c r="AA476" s="3066" t="s">
        <v>3560</v>
      </c>
      <c r="AB476" s="3066" t="s">
        <v>3560</v>
      </c>
      <c r="AC476" s="3066" t="s">
        <v>3560</v>
      </c>
      <c r="AD476" s="3066" t="s">
        <v>3560</v>
      </c>
      <c r="AE476" s="3066" t="s">
        <v>3560</v>
      </c>
      <c r="AF476" s="3067">
        <v>0</v>
      </c>
      <c r="AG476" s="3066">
        <v>0</v>
      </c>
      <c r="AH476" s="3066">
        <v>0</v>
      </c>
      <c r="AI476" s="3066">
        <v>0</v>
      </c>
      <c r="AJ476" s="3066">
        <v>0</v>
      </c>
      <c r="AK476" s="3066">
        <v>0</v>
      </c>
      <c r="AL476" s="3066">
        <v>0</v>
      </c>
      <c r="AM476" s="3066">
        <v>0</v>
      </c>
      <c r="AN476" s="3066" t="s">
        <v>3560</v>
      </c>
      <c r="AP476" s="3068">
        <f t="shared" si="7"/>
        <v>0</v>
      </c>
    </row>
    <row r="477" spans="2:42" ht="27" customHeight="1">
      <c r="B477" s="3066">
        <v>485</v>
      </c>
      <c r="C477" s="3066" t="s">
        <v>3167</v>
      </c>
      <c r="D477" s="3066" t="s">
        <v>3972</v>
      </c>
      <c r="E477" s="3066" t="s">
        <v>5154</v>
      </c>
      <c r="F477" s="3066" t="s">
        <v>3917</v>
      </c>
      <c r="G477" s="3066" t="s">
        <v>3560</v>
      </c>
      <c r="H477" s="3066" t="s">
        <v>3560</v>
      </c>
      <c r="I477" s="3066" t="s">
        <v>3560</v>
      </c>
      <c r="J477" s="3066" t="s">
        <v>3560</v>
      </c>
      <c r="K477" s="3066" t="s">
        <v>3560</v>
      </c>
      <c r="L477" s="3066" t="s">
        <v>3560</v>
      </c>
      <c r="M477" s="3066" t="s">
        <v>5155</v>
      </c>
      <c r="N477" s="3066">
        <v>40.299999999999997</v>
      </c>
      <c r="O477" s="3066" t="s">
        <v>3560</v>
      </c>
      <c r="P477" s="3066" t="s">
        <v>3560</v>
      </c>
      <c r="Q477" s="3066">
        <v>0</v>
      </c>
      <c r="R477" s="3066">
        <v>0</v>
      </c>
      <c r="S477" s="3066" t="s">
        <v>3577</v>
      </c>
      <c r="T477" s="3066">
        <v>0</v>
      </c>
      <c r="U477" s="3066">
        <v>0</v>
      </c>
      <c r="V477" s="3066" t="s">
        <v>3560</v>
      </c>
      <c r="W477" s="3066" t="s">
        <v>3568</v>
      </c>
      <c r="X477" s="3066">
        <v>0</v>
      </c>
      <c r="Y477" s="3066">
        <v>0</v>
      </c>
      <c r="Z477" s="3066" t="s">
        <v>3568</v>
      </c>
      <c r="AA477" s="3066" t="s">
        <v>3560</v>
      </c>
      <c r="AB477" s="3066" t="s">
        <v>3560</v>
      </c>
      <c r="AC477" s="3066" t="s">
        <v>3560</v>
      </c>
      <c r="AD477" s="3066" t="s">
        <v>3560</v>
      </c>
      <c r="AE477" s="3066" t="s">
        <v>3560</v>
      </c>
      <c r="AF477" s="3067">
        <v>0</v>
      </c>
      <c r="AG477" s="3066">
        <v>0</v>
      </c>
      <c r="AH477" s="3066">
        <v>0</v>
      </c>
      <c r="AI477" s="3066">
        <v>0</v>
      </c>
      <c r="AJ477" s="3066">
        <v>0</v>
      </c>
      <c r="AK477" s="3066">
        <v>0</v>
      </c>
      <c r="AL477" s="3066">
        <v>0</v>
      </c>
      <c r="AM477" s="3066">
        <v>0</v>
      </c>
      <c r="AN477" s="3066" t="s">
        <v>3560</v>
      </c>
      <c r="AP477" s="3068">
        <f t="shared" si="7"/>
        <v>0</v>
      </c>
    </row>
    <row r="478" spans="2:42" ht="27" customHeight="1">
      <c r="B478" s="3066">
        <v>486</v>
      </c>
      <c r="C478" s="3066" t="s">
        <v>3167</v>
      </c>
      <c r="D478" s="3066" t="s">
        <v>3972</v>
      </c>
      <c r="E478" s="3066" t="s">
        <v>5156</v>
      </c>
      <c r="F478" s="3066" t="s">
        <v>3917</v>
      </c>
      <c r="G478" s="3066" t="s">
        <v>3560</v>
      </c>
      <c r="H478" s="3066" t="s">
        <v>3560</v>
      </c>
      <c r="I478" s="3066" t="s">
        <v>3560</v>
      </c>
      <c r="J478" s="3066" t="s">
        <v>3560</v>
      </c>
      <c r="K478" s="3066" t="s">
        <v>3560</v>
      </c>
      <c r="L478" s="3066" t="s">
        <v>3560</v>
      </c>
      <c r="M478" s="3066" t="s">
        <v>5157</v>
      </c>
      <c r="N478" s="3066">
        <v>40.299999999999997</v>
      </c>
      <c r="O478" s="3066" t="s">
        <v>3560</v>
      </c>
      <c r="P478" s="3066" t="s">
        <v>3560</v>
      </c>
      <c r="Q478" s="3066">
        <v>0</v>
      </c>
      <c r="R478" s="3066">
        <v>0</v>
      </c>
      <c r="S478" s="3066" t="s">
        <v>3577</v>
      </c>
      <c r="T478" s="3066">
        <v>0</v>
      </c>
      <c r="U478" s="3066">
        <v>0</v>
      </c>
      <c r="V478" s="3066" t="s">
        <v>3560</v>
      </c>
      <c r="W478" s="3066" t="s">
        <v>3568</v>
      </c>
      <c r="X478" s="3066">
        <v>0</v>
      </c>
      <c r="Y478" s="3066">
        <v>0</v>
      </c>
      <c r="Z478" s="3066" t="s">
        <v>3568</v>
      </c>
      <c r="AA478" s="3066" t="s">
        <v>3560</v>
      </c>
      <c r="AB478" s="3066" t="s">
        <v>3560</v>
      </c>
      <c r="AC478" s="3066" t="s">
        <v>3560</v>
      </c>
      <c r="AD478" s="3066" t="s">
        <v>3560</v>
      </c>
      <c r="AE478" s="3066" t="s">
        <v>3560</v>
      </c>
      <c r="AF478" s="3067">
        <v>0</v>
      </c>
      <c r="AG478" s="3066">
        <v>0</v>
      </c>
      <c r="AH478" s="3066">
        <v>0</v>
      </c>
      <c r="AI478" s="3066">
        <v>0</v>
      </c>
      <c r="AJ478" s="3066">
        <v>0</v>
      </c>
      <c r="AK478" s="3066">
        <v>0</v>
      </c>
      <c r="AL478" s="3066">
        <v>0</v>
      </c>
      <c r="AM478" s="3066">
        <v>0</v>
      </c>
      <c r="AN478" s="3066" t="s">
        <v>3560</v>
      </c>
      <c r="AP478" s="3068">
        <f t="shared" si="7"/>
        <v>0</v>
      </c>
    </row>
    <row r="479" spans="2:42" ht="27" customHeight="1">
      <c r="B479" s="3066">
        <v>487</v>
      </c>
      <c r="C479" s="3066" t="s">
        <v>3167</v>
      </c>
      <c r="D479" s="3066" t="s">
        <v>3972</v>
      </c>
      <c r="E479" s="3066" t="s">
        <v>5158</v>
      </c>
      <c r="F479" s="3066" t="s">
        <v>3917</v>
      </c>
      <c r="G479" s="3066" t="s">
        <v>3560</v>
      </c>
      <c r="H479" s="3066" t="s">
        <v>3560</v>
      </c>
      <c r="I479" s="3066" t="s">
        <v>3560</v>
      </c>
      <c r="J479" s="3066" t="s">
        <v>3560</v>
      </c>
      <c r="K479" s="3066" t="s">
        <v>3560</v>
      </c>
      <c r="L479" s="3066" t="s">
        <v>3560</v>
      </c>
      <c r="M479" s="3066" t="s">
        <v>5159</v>
      </c>
      <c r="N479" s="3066">
        <v>46.3</v>
      </c>
      <c r="O479" s="3066" t="s">
        <v>3560</v>
      </c>
      <c r="P479" s="3066" t="s">
        <v>3560</v>
      </c>
      <c r="Q479" s="3066">
        <v>0</v>
      </c>
      <c r="R479" s="3066">
        <v>0</v>
      </c>
      <c r="S479" s="3066" t="s">
        <v>3577</v>
      </c>
      <c r="T479" s="3066">
        <v>0</v>
      </c>
      <c r="U479" s="3066">
        <v>0</v>
      </c>
      <c r="V479" s="3066" t="s">
        <v>3560</v>
      </c>
      <c r="W479" s="3066" t="s">
        <v>3568</v>
      </c>
      <c r="X479" s="3066">
        <v>0</v>
      </c>
      <c r="Y479" s="3066">
        <v>0</v>
      </c>
      <c r="Z479" s="3066" t="s">
        <v>3568</v>
      </c>
      <c r="AA479" s="3066" t="s">
        <v>3560</v>
      </c>
      <c r="AB479" s="3066" t="s">
        <v>3560</v>
      </c>
      <c r="AC479" s="3066" t="s">
        <v>3560</v>
      </c>
      <c r="AD479" s="3066" t="s">
        <v>3560</v>
      </c>
      <c r="AE479" s="3066" t="s">
        <v>3560</v>
      </c>
      <c r="AF479" s="3067">
        <v>0</v>
      </c>
      <c r="AG479" s="3066">
        <v>0</v>
      </c>
      <c r="AH479" s="3066">
        <v>0</v>
      </c>
      <c r="AI479" s="3066">
        <v>0</v>
      </c>
      <c r="AJ479" s="3066">
        <v>0</v>
      </c>
      <c r="AK479" s="3066">
        <v>0</v>
      </c>
      <c r="AL479" s="3066">
        <v>0</v>
      </c>
      <c r="AM479" s="3066">
        <v>0</v>
      </c>
      <c r="AN479" s="3066" t="s">
        <v>3560</v>
      </c>
      <c r="AP479" s="3068">
        <f t="shared" si="7"/>
        <v>0</v>
      </c>
    </row>
    <row r="480" spans="2:42" ht="27" customHeight="1">
      <c r="B480" s="3066">
        <v>488</v>
      </c>
      <c r="C480" s="3066" t="s">
        <v>3167</v>
      </c>
      <c r="D480" s="3066" t="s">
        <v>4209</v>
      </c>
      <c r="E480" s="3066" t="s">
        <v>5160</v>
      </c>
      <c r="F480" s="3066" t="s">
        <v>3917</v>
      </c>
      <c r="G480" s="3066" t="s">
        <v>3560</v>
      </c>
      <c r="H480" s="3066" t="s">
        <v>3560</v>
      </c>
      <c r="I480" s="3066" t="s">
        <v>3560</v>
      </c>
      <c r="J480" s="3066" t="s">
        <v>3560</v>
      </c>
      <c r="K480" s="3066" t="s">
        <v>3560</v>
      </c>
      <c r="L480" s="3066" t="s">
        <v>3560</v>
      </c>
      <c r="M480" s="3066" t="s">
        <v>5161</v>
      </c>
      <c r="N480" s="3066">
        <v>40.299999999999997</v>
      </c>
      <c r="O480" s="3066" t="s">
        <v>3560</v>
      </c>
      <c r="P480" s="3066" t="s">
        <v>3560</v>
      </c>
      <c r="Q480" s="3066">
        <v>0</v>
      </c>
      <c r="R480" s="3066">
        <v>0</v>
      </c>
      <c r="S480" s="3066" t="s">
        <v>3577</v>
      </c>
      <c r="T480" s="3066">
        <v>0</v>
      </c>
      <c r="U480" s="3066">
        <v>0</v>
      </c>
      <c r="V480" s="3066" t="s">
        <v>3560</v>
      </c>
      <c r="W480" s="3066" t="s">
        <v>3568</v>
      </c>
      <c r="X480" s="3066">
        <v>0</v>
      </c>
      <c r="Y480" s="3066">
        <v>0</v>
      </c>
      <c r="Z480" s="3066" t="s">
        <v>3568</v>
      </c>
      <c r="AA480" s="3066" t="s">
        <v>3560</v>
      </c>
      <c r="AB480" s="3066" t="s">
        <v>3560</v>
      </c>
      <c r="AC480" s="3066" t="s">
        <v>3560</v>
      </c>
      <c r="AD480" s="3066" t="s">
        <v>3560</v>
      </c>
      <c r="AE480" s="3066" t="s">
        <v>3560</v>
      </c>
      <c r="AF480" s="3067">
        <v>0</v>
      </c>
      <c r="AG480" s="3066">
        <v>0</v>
      </c>
      <c r="AH480" s="3066">
        <v>0</v>
      </c>
      <c r="AI480" s="3066">
        <v>0</v>
      </c>
      <c r="AJ480" s="3066">
        <v>0</v>
      </c>
      <c r="AK480" s="3066">
        <v>0</v>
      </c>
      <c r="AL480" s="3066">
        <v>0</v>
      </c>
      <c r="AM480" s="3066">
        <v>0</v>
      </c>
      <c r="AN480" s="3066" t="s">
        <v>3560</v>
      </c>
      <c r="AP480" s="3068">
        <f t="shared" si="7"/>
        <v>0</v>
      </c>
    </row>
    <row r="481" spans="2:42" ht="27" customHeight="1">
      <c r="B481" s="3066">
        <v>489</v>
      </c>
      <c r="C481" s="3066" t="s">
        <v>3167</v>
      </c>
      <c r="D481" s="3066" t="s">
        <v>4209</v>
      </c>
      <c r="E481" s="3066" t="s">
        <v>5162</v>
      </c>
      <c r="F481" s="3066" t="s">
        <v>3917</v>
      </c>
      <c r="G481" s="3066" t="s">
        <v>3560</v>
      </c>
      <c r="H481" s="3066" t="s">
        <v>3560</v>
      </c>
      <c r="I481" s="3066" t="s">
        <v>3560</v>
      </c>
      <c r="J481" s="3066" t="s">
        <v>3560</v>
      </c>
      <c r="K481" s="3066" t="s">
        <v>3560</v>
      </c>
      <c r="L481" s="3066" t="s">
        <v>3560</v>
      </c>
      <c r="M481" s="3066" t="s">
        <v>5163</v>
      </c>
      <c r="N481" s="3066">
        <v>40.299999999999997</v>
      </c>
      <c r="O481" s="3066" t="s">
        <v>3560</v>
      </c>
      <c r="P481" s="3066" t="s">
        <v>3560</v>
      </c>
      <c r="Q481" s="3066">
        <v>0</v>
      </c>
      <c r="R481" s="3066">
        <v>0</v>
      </c>
      <c r="S481" s="3066" t="s">
        <v>3577</v>
      </c>
      <c r="T481" s="3066">
        <v>0</v>
      </c>
      <c r="U481" s="3066">
        <v>0</v>
      </c>
      <c r="V481" s="3066" t="s">
        <v>3560</v>
      </c>
      <c r="W481" s="3066" t="s">
        <v>3568</v>
      </c>
      <c r="X481" s="3066">
        <v>0</v>
      </c>
      <c r="Y481" s="3066">
        <v>0</v>
      </c>
      <c r="Z481" s="3066" t="s">
        <v>3568</v>
      </c>
      <c r="AA481" s="3066" t="s">
        <v>3560</v>
      </c>
      <c r="AB481" s="3066" t="s">
        <v>3560</v>
      </c>
      <c r="AC481" s="3066" t="s">
        <v>3560</v>
      </c>
      <c r="AD481" s="3066" t="s">
        <v>3560</v>
      </c>
      <c r="AE481" s="3066" t="s">
        <v>3560</v>
      </c>
      <c r="AF481" s="3067">
        <v>0</v>
      </c>
      <c r="AG481" s="3066">
        <v>0</v>
      </c>
      <c r="AH481" s="3066">
        <v>0</v>
      </c>
      <c r="AI481" s="3066">
        <v>0</v>
      </c>
      <c r="AJ481" s="3066">
        <v>0</v>
      </c>
      <c r="AK481" s="3066">
        <v>0</v>
      </c>
      <c r="AL481" s="3066">
        <v>0</v>
      </c>
      <c r="AM481" s="3066">
        <v>0</v>
      </c>
      <c r="AN481" s="3066" t="s">
        <v>3560</v>
      </c>
      <c r="AP481" s="3068">
        <f t="shared" si="7"/>
        <v>0</v>
      </c>
    </row>
    <row r="482" spans="2:42" ht="27" customHeight="1">
      <c r="B482" s="3066">
        <v>490</v>
      </c>
      <c r="C482" s="3066" t="s">
        <v>3167</v>
      </c>
      <c r="D482" s="3066" t="s">
        <v>4209</v>
      </c>
      <c r="E482" s="3066" t="s">
        <v>5164</v>
      </c>
      <c r="F482" s="3066" t="s">
        <v>3917</v>
      </c>
      <c r="G482" s="3066" t="s">
        <v>3560</v>
      </c>
      <c r="H482" s="3066" t="s">
        <v>3560</v>
      </c>
      <c r="I482" s="3066" t="s">
        <v>3560</v>
      </c>
      <c r="J482" s="3066" t="s">
        <v>3560</v>
      </c>
      <c r="K482" s="3066" t="s">
        <v>3560</v>
      </c>
      <c r="L482" s="3066" t="s">
        <v>3560</v>
      </c>
      <c r="M482" s="3066" t="s">
        <v>5165</v>
      </c>
      <c r="N482" s="3066">
        <v>40.299999999999997</v>
      </c>
      <c r="O482" s="3066" t="s">
        <v>3560</v>
      </c>
      <c r="P482" s="3066" t="s">
        <v>3560</v>
      </c>
      <c r="Q482" s="3066">
        <v>0</v>
      </c>
      <c r="R482" s="3066">
        <v>0</v>
      </c>
      <c r="S482" s="3066" t="s">
        <v>3577</v>
      </c>
      <c r="T482" s="3066">
        <v>0</v>
      </c>
      <c r="U482" s="3066">
        <v>0</v>
      </c>
      <c r="V482" s="3066" t="s">
        <v>3560</v>
      </c>
      <c r="W482" s="3066" t="s">
        <v>3568</v>
      </c>
      <c r="X482" s="3066">
        <v>0</v>
      </c>
      <c r="Y482" s="3066">
        <v>0</v>
      </c>
      <c r="Z482" s="3066" t="s">
        <v>3568</v>
      </c>
      <c r="AA482" s="3066" t="s">
        <v>3560</v>
      </c>
      <c r="AB482" s="3066" t="s">
        <v>3560</v>
      </c>
      <c r="AC482" s="3066" t="s">
        <v>3560</v>
      </c>
      <c r="AD482" s="3066" t="s">
        <v>3560</v>
      </c>
      <c r="AE482" s="3066" t="s">
        <v>3560</v>
      </c>
      <c r="AF482" s="3067">
        <v>0</v>
      </c>
      <c r="AG482" s="3066">
        <v>0</v>
      </c>
      <c r="AH482" s="3066">
        <v>0</v>
      </c>
      <c r="AI482" s="3066">
        <v>0</v>
      </c>
      <c r="AJ482" s="3066">
        <v>0</v>
      </c>
      <c r="AK482" s="3066">
        <v>0</v>
      </c>
      <c r="AL482" s="3066">
        <v>0</v>
      </c>
      <c r="AM482" s="3066">
        <v>0</v>
      </c>
      <c r="AN482" s="3066" t="s">
        <v>3560</v>
      </c>
      <c r="AP482" s="3068">
        <f t="shared" si="7"/>
        <v>0</v>
      </c>
    </row>
    <row r="483" spans="2:42" ht="27" customHeight="1">
      <c r="B483" s="3066">
        <v>491</v>
      </c>
      <c r="C483" s="3066" t="s">
        <v>3167</v>
      </c>
      <c r="D483" s="3066" t="s">
        <v>4209</v>
      </c>
      <c r="E483" s="3066" t="s">
        <v>5166</v>
      </c>
      <c r="F483" s="3066" t="s">
        <v>3917</v>
      </c>
      <c r="G483" s="3066" t="s">
        <v>3560</v>
      </c>
      <c r="H483" s="3066" t="s">
        <v>3560</v>
      </c>
      <c r="I483" s="3066" t="s">
        <v>3560</v>
      </c>
      <c r="J483" s="3066" t="s">
        <v>3560</v>
      </c>
      <c r="K483" s="3066" t="s">
        <v>3560</v>
      </c>
      <c r="L483" s="3066" t="s">
        <v>3560</v>
      </c>
      <c r="M483" s="3066" t="s">
        <v>5167</v>
      </c>
      <c r="N483" s="3066">
        <v>40.299999999999997</v>
      </c>
      <c r="O483" s="3066" t="s">
        <v>3560</v>
      </c>
      <c r="P483" s="3066" t="s">
        <v>3560</v>
      </c>
      <c r="Q483" s="3066">
        <v>0</v>
      </c>
      <c r="R483" s="3066">
        <v>0</v>
      </c>
      <c r="S483" s="3066" t="s">
        <v>3577</v>
      </c>
      <c r="T483" s="3066">
        <v>0</v>
      </c>
      <c r="U483" s="3066">
        <v>0</v>
      </c>
      <c r="V483" s="3066" t="s">
        <v>3560</v>
      </c>
      <c r="W483" s="3066" t="s">
        <v>3568</v>
      </c>
      <c r="X483" s="3066">
        <v>0</v>
      </c>
      <c r="Y483" s="3066">
        <v>0</v>
      </c>
      <c r="Z483" s="3066" t="s">
        <v>3568</v>
      </c>
      <c r="AA483" s="3066" t="s">
        <v>3560</v>
      </c>
      <c r="AB483" s="3066" t="s">
        <v>3560</v>
      </c>
      <c r="AC483" s="3066" t="s">
        <v>3560</v>
      </c>
      <c r="AD483" s="3066" t="s">
        <v>3560</v>
      </c>
      <c r="AE483" s="3066" t="s">
        <v>3560</v>
      </c>
      <c r="AF483" s="3067">
        <v>0</v>
      </c>
      <c r="AG483" s="3066">
        <v>0</v>
      </c>
      <c r="AH483" s="3066">
        <v>0</v>
      </c>
      <c r="AI483" s="3066">
        <v>0</v>
      </c>
      <c r="AJ483" s="3066">
        <v>0</v>
      </c>
      <c r="AK483" s="3066">
        <v>0</v>
      </c>
      <c r="AL483" s="3066">
        <v>0</v>
      </c>
      <c r="AM483" s="3066">
        <v>0</v>
      </c>
      <c r="AN483" s="3066" t="s">
        <v>3560</v>
      </c>
      <c r="AP483" s="3068">
        <f t="shared" si="7"/>
        <v>0</v>
      </c>
    </row>
    <row r="484" spans="2:42" ht="27" customHeight="1">
      <c r="B484" s="3066">
        <v>492</v>
      </c>
      <c r="C484" s="3066" t="s">
        <v>3167</v>
      </c>
      <c r="D484" s="3066" t="s">
        <v>4209</v>
      </c>
      <c r="E484" s="3066" t="s">
        <v>5168</v>
      </c>
      <c r="F484" s="3066" t="s">
        <v>3917</v>
      </c>
      <c r="G484" s="3066" t="s">
        <v>3560</v>
      </c>
      <c r="H484" s="3066" t="s">
        <v>3560</v>
      </c>
      <c r="I484" s="3066" t="s">
        <v>3560</v>
      </c>
      <c r="J484" s="3066" t="s">
        <v>3560</v>
      </c>
      <c r="K484" s="3066" t="s">
        <v>3560</v>
      </c>
      <c r="L484" s="3066" t="s">
        <v>3560</v>
      </c>
      <c r="M484" s="3066" t="s">
        <v>5169</v>
      </c>
      <c r="N484" s="3066">
        <v>40.299999999999997</v>
      </c>
      <c r="O484" s="3066" t="s">
        <v>3560</v>
      </c>
      <c r="P484" s="3066" t="s">
        <v>3560</v>
      </c>
      <c r="Q484" s="3066">
        <v>0</v>
      </c>
      <c r="R484" s="3066">
        <v>0</v>
      </c>
      <c r="S484" s="3066" t="s">
        <v>3577</v>
      </c>
      <c r="T484" s="3066">
        <v>0</v>
      </c>
      <c r="U484" s="3066">
        <v>0</v>
      </c>
      <c r="V484" s="3066" t="s">
        <v>3560</v>
      </c>
      <c r="W484" s="3066" t="s">
        <v>3568</v>
      </c>
      <c r="X484" s="3066">
        <v>0</v>
      </c>
      <c r="Y484" s="3066">
        <v>0</v>
      </c>
      <c r="Z484" s="3066" t="s">
        <v>3568</v>
      </c>
      <c r="AA484" s="3066" t="s">
        <v>3560</v>
      </c>
      <c r="AB484" s="3066" t="s">
        <v>3560</v>
      </c>
      <c r="AC484" s="3066" t="s">
        <v>3560</v>
      </c>
      <c r="AD484" s="3066" t="s">
        <v>3560</v>
      </c>
      <c r="AE484" s="3066" t="s">
        <v>3560</v>
      </c>
      <c r="AF484" s="3067">
        <v>0</v>
      </c>
      <c r="AG484" s="3066">
        <v>0</v>
      </c>
      <c r="AH484" s="3066">
        <v>0</v>
      </c>
      <c r="AI484" s="3066">
        <v>0</v>
      </c>
      <c r="AJ484" s="3066">
        <v>0</v>
      </c>
      <c r="AK484" s="3066">
        <v>0</v>
      </c>
      <c r="AL484" s="3066">
        <v>0</v>
      </c>
      <c r="AM484" s="3066">
        <v>0</v>
      </c>
      <c r="AN484" s="3066" t="s">
        <v>3560</v>
      </c>
      <c r="AP484" s="3068">
        <f t="shared" si="7"/>
        <v>0</v>
      </c>
    </row>
    <row r="485" spans="2:42" ht="27" customHeight="1">
      <c r="B485" s="3066">
        <v>493</v>
      </c>
      <c r="C485" s="3066" t="s">
        <v>3167</v>
      </c>
      <c r="D485" s="3066" t="s">
        <v>4209</v>
      </c>
      <c r="E485" s="3066" t="s">
        <v>5170</v>
      </c>
      <c r="F485" s="3066" t="s">
        <v>3917</v>
      </c>
      <c r="G485" s="3066" t="s">
        <v>3560</v>
      </c>
      <c r="H485" s="3066" t="s">
        <v>3560</v>
      </c>
      <c r="I485" s="3066" t="s">
        <v>3560</v>
      </c>
      <c r="J485" s="3066" t="s">
        <v>3560</v>
      </c>
      <c r="K485" s="3066" t="s">
        <v>3560</v>
      </c>
      <c r="L485" s="3066" t="s">
        <v>3560</v>
      </c>
      <c r="M485" s="3066" t="s">
        <v>5171</v>
      </c>
      <c r="N485" s="3066">
        <v>40.299999999999997</v>
      </c>
      <c r="O485" s="3066" t="s">
        <v>3560</v>
      </c>
      <c r="P485" s="3066" t="s">
        <v>3560</v>
      </c>
      <c r="Q485" s="3066">
        <v>0</v>
      </c>
      <c r="R485" s="3066">
        <v>0</v>
      </c>
      <c r="S485" s="3066" t="s">
        <v>3577</v>
      </c>
      <c r="T485" s="3066">
        <v>0</v>
      </c>
      <c r="U485" s="3066">
        <v>0</v>
      </c>
      <c r="V485" s="3066" t="s">
        <v>3560</v>
      </c>
      <c r="W485" s="3066" t="s">
        <v>3568</v>
      </c>
      <c r="X485" s="3066">
        <v>0</v>
      </c>
      <c r="Y485" s="3066">
        <v>0</v>
      </c>
      <c r="Z485" s="3066" t="s">
        <v>3568</v>
      </c>
      <c r="AA485" s="3066" t="s">
        <v>3560</v>
      </c>
      <c r="AB485" s="3066" t="s">
        <v>3560</v>
      </c>
      <c r="AC485" s="3066" t="s">
        <v>3560</v>
      </c>
      <c r="AD485" s="3066" t="s">
        <v>3560</v>
      </c>
      <c r="AE485" s="3066" t="s">
        <v>3560</v>
      </c>
      <c r="AF485" s="3067">
        <v>0</v>
      </c>
      <c r="AG485" s="3066">
        <v>0</v>
      </c>
      <c r="AH485" s="3066">
        <v>0</v>
      </c>
      <c r="AI485" s="3066">
        <v>0</v>
      </c>
      <c r="AJ485" s="3066">
        <v>0</v>
      </c>
      <c r="AK485" s="3066">
        <v>0</v>
      </c>
      <c r="AL485" s="3066">
        <v>0</v>
      </c>
      <c r="AM485" s="3066">
        <v>0</v>
      </c>
      <c r="AN485" s="3066" t="s">
        <v>3560</v>
      </c>
      <c r="AP485" s="3068">
        <f t="shared" si="7"/>
        <v>0</v>
      </c>
    </row>
    <row r="486" spans="2:42" ht="27" customHeight="1">
      <c r="B486" s="3066">
        <v>494</v>
      </c>
      <c r="C486" s="3066" t="s">
        <v>3167</v>
      </c>
      <c r="D486" s="3066" t="s">
        <v>4209</v>
      </c>
      <c r="E486" s="3066" t="s">
        <v>5172</v>
      </c>
      <c r="F486" s="3066" t="s">
        <v>3917</v>
      </c>
      <c r="G486" s="3066" t="s">
        <v>3560</v>
      </c>
      <c r="H486" s="3066" t="s">
        <v>3560</v>
      </c>
      <c r="I486" s="3066" t="s">
        <v>3560</v>
      </c>
      <c r="J486" s="3066" t="s">
        <v>3560</v>
      </c>
      <c r="K486" s="3066" t="s">
        <v>3560</v>
      </c>
      <c r="L486" s="3066" t="s">
        <v>3560</v>
      </c>
      <c r="M486" s="3066" t="s">
        <v>5173</v>
      </c>
      <c r="N486" s="3066">
        <v>40.299999999999997</v>
      </c>
      <c r="O486" s="3066" t="s">
        <v>3560</v>
      </c>
      <c r="P486" s="3066" t="s">
        <v>3560</v>
      </c>
      <c r="Q486" s="3066">
        <v>0</v>
      </c>
      <c r="R486" s="3066">
        <v>0</v>
      </c>
      <c r="S486" s="3066" t="s">
        <v>3577</v>
      </c>
      <c r="T486" s="3066">
        <v>0</v>
      </c>
      <c r="U486" s="3066">
        <v>0</v>
      </c>
      <c r="V486" s="3066" t="s">
        <v>3560</v>
      </c>
      <c r="W486" s="3066" t="s">
        <v>3568</v>
      </c>
      <c r="X486" s="3066">
        <v>0</v>
      </c>
      <c r="Y486" s="3066">
        <v>0</v>
      </c>
      <c r="Z486" s="3066" t="s">
        <v>3568</v>
      </c>
      <c r="AA486" s="3066" t="s">
        <v>3560</v>
      </c>
      <c r="AB486" s="3066" t="s">
        <v>3560</v>
      </c>
      <c r="AC486" s="3066" t="s">
        <v>3560</v>
      </c>
      <c r="AD486" s="3066" t="s">
        <v>3560</v>
      </c>
      <c r="AE486" s="3066" t="s">
        <v>3560</v>
      </c>
      <c r="AF486" s="3067">
        <v>0</v>
      </c>
      <c r="AG486" s="3066">
        <v>0</v>
      </c>
      <c r="AH486" s="3066">
        <v>0</v>
      </c>
      <c r="AI486" s="3066">
        <v>0</v>
      </c>
      <c r="AJ486" s="3066">
        <v>0</v>
      </c>
      <c r="AK486" s="3066">
        <v>0</v>
      </c>
      <c r="AL486" s="3066">
        <v>0</v>
      </c>
      <c r="AM486" s="3066">
        <v>0</v>
      </c>
      <c r="AN486" s="3066" t="s">
        <v>3560</v>
      </c>
      <c r="AP486" s="3068">
        <f t="shared" si="7"/>
        <v>0</v>
      </c>
    </row>
    <row r="487" spans="2:42" ht="27" customHeight="1">
      <c r="B487" s="3066">
        <v>495</v>
      </c>
      <c r="C487" s="3066" t="s">
        <v>3167</v>
      </c>
      <c r="D487" s="3066" t="s">
        <v>4209</v>
      </c>
      <c r="E487" s="3066" t="s">
        <v>5174</v>
      </c>
      <c r="F487" s="3066" t="s">
        <v>3917</v>
      </c>
      <c r="G487" s="3066" t="s">
        <v>3560</v>
      </c>
      <c r="H487" s="3066" t="s">
        <v>3560</v>
      </c>
      <c r="I487" s="3066" t="s">
        <v>3560</v>
      </c>
      <c r="J487" s="3066" t="s">
        <v>3560</v>
      </c>
      <c r="K487" s="3066" t="s">
        <v>3560</v>
      </c>
      <c r="L487" s="3066" t="s">
        <v>3560</v>
      </c>
      <c r="M487" s="3066" t="s">
        <v>5175</v>
      </c>
      <c r="N487" s="3066">
        <v>40.299999999999997</v>
      </c>
      <c r="O487" s="3066" t="s">
        <v>3560</v>
      </c>
      <c r="P487" s="3066" t="s">
        <v>3560</v>
      </c>
      <c r="Q487" s="3066">
        <v>0</v>
      </c>
      <c r="R487" s="3066">
        <v>0</v>
      </c>
      <c r="S487" s="3066" t="s">
        <v>3577</v>
      </c>
      <c r="T487" s="3066">
        <v>0</v>
      </c>
      <c r="U487" s="3066">
        <v>0</v>
      </c>
      <c r="V487" s="3066" t="s">
        <v>3560</v>
      </c>
      <c r="W487" s="3066" t="s">
        <v>3568</v>
      </c>
      <c r="X487" s="3066">
        <v>0</v>
      </c>
      <c r="Y487" s="3066">
        <v>0</v>
      </c>
      <c r="Z487" s="3066" t="s">
        <v>3568</v>
      </c>
      <c r="AA487" s="3066" t="s">
        <v>3560</v>
      </c>
      <c r="AB487" s="3066" t="s">
        <v>3560</v>
      </c>
      <c r="AC487" s="3066" t="s">
        <v>3560</v>
      </c>
      <c r="AD487" s="3066" t="s">
        <v>3560</v>
      </c>
      <c r="AE487" s="3066" t="s">
        <v>3560</v>
      </c>
      <c r="AF487" s="3067">
        <v>0</v>
      </c>
      <c r="AG487" s="3066">
        <v>0</v>
      </c>
      <c r="AH487" s="3066">
        <v>0</v>
      </c>
      <c r="AI487" s="3066">
        <v>0</v>
      </c>
      <c r="AJ487" s="3066">
        <v>0</v>
      </c>
      <c r="AK487" s="3066">
        <v>0</v>
      </c>
      <c r="AL487" s="3066">
        <v>0</v>
      </c>
      <c r="AM487" s="3066">
        <v>0</v>
      </c>
      <c r="AN487" s="3066" t="s">
        <v>3560</v>
      </c>
      <c r="AP487" s="3068">
        <f t="shared" si="7"/>
        <v>0</v>
      </c>
    </row>
    <row r="488" spans="2:42" ht="27" customHeight="1">
      <c r="B488" s="3066">
        <v>496</v>
      </c>
      <c r="C488" s="3066" t="s">
        <v>3167</v>
      </c>
      <c r="D488" s="3066" t="s">
        <v>4209</v>
      </c>
      <c r="E488" s="3066" t="s">
        <v>5176</v>
      </c>
      <c r="F488" s="3066" t="s">
        <v>3917</v>
      </c>
      <c r="G488" s="3066" t="s">
        <v>3560</v>
      </c>
      <c r="H488" s="3066" t="s">
        <v>3560</v>
      </c>
      <c r="I488" s="3066" t="s">
        <v>3560</v>
      </c>
      <c r="J488" s="3066" t="s">
        <v>3560</v>
      </c>
      <c r="K488" s="3066" t="s">
        <v>3560</v>
      </c>
      <c r="L488" s="3066" t="s">
        <v>3560</v>
      </c>
      <c r="M488" s="3066" t="s">
        <v>5177</v>
      </c>
      <c r="N488" s="3066">
        <v>40.299999999999997</v>
      </c>
      <c r="O488" s="3066" t="s">
        <v>3560</v>
      </c>
      <c r="P488" s="3066" t="s">
        <v>3560</v>
      </c>
      <c r="Q488" s="3066">
        <v>0</v>
      </c>
      <c r="R488" s="3066">
        <v>0</v>
      </c>
      <c r="S488" s="3066" t="s">
        <v>3577</v>
      </c>
      <c r="T488" s="3066">
        <v>0</v>
      </c>
      <c r="U488" s="3066">
        <v>0</v>
      </c>
      <c r="V488" s="3066" t="s">
        <v>3560</v>
      </c>
      <c r="W488" s="3066" t="s">
        <v>3568</v>
      </c>
      <c r="X488" s="3066">
        <v>0</v>
      </c>
      <c r="Y488" s="3066">
        <v>0</v>
      </c>
      <c r="Z488" s="3066" t="s">
        <v>3568</v>
      </c>
      <c r="AA488" s="3066" t="s">
        <v>3560</v>
      </c>
      <c r="AB488" s="3066" t="s">
        <v>3560</v>
      </c>
      <c r="AC488" s="3066" t="s">
        <v>3560</v>
      </c>
      <c r="AD488" s="3066" t="s">
        <v>3560</v>
      </c>
      <c r="AE488" s="3066" t="s">
        <v>3560</v>
      </c>
      <c r="AF488" s="3067">
        <v>0</v>
      </c>
      <c r="AG488" s="3066">
        <v>0</v>
      </c>
      <c r="AH488" s="3066">
        <v>0</v>
      </c>
      <c r="AI488" s="3066">
        <v>0</v>
      </c>
      <c r="AJ488" s="3066">
        <v>0</v>
      </c>
      <c r="AK488" s="3066">
        <v>0</v>
      </c>
      <c r="AL488" s="3066">
        <v>0</v>
      </c>
      <c r="AM488" s="3066">
        <v>0</v>
      </c>
      <c r="AN488" s="3066" t="s">
        <v>3560</v>
      </c>
      <c r="AP488" s="3068">
        <f t="shared" si="7"/>
        <v>0</v>
      </c>
    </row>
    <row r="489" spans="2:42" ht="27" customHeight="1">
      <c r="B489" s="3066">
        <v>497</v>
      </c>
      <c r="C489" s="3066" t="s">
        <v>3167</v>
      </c>
      <c r="D489" s="3066" t="s">
        <v>4209</v>
      </c>
      <c r="E489" s="3066" t="s">
        <v>5178</v>
      </c>
      <c r="F489" s="3066" t="s">
        <v>3917</v>
      </c>
      <c r="G489" s="3066" t="s">
        <v>3560</v>
      </c>
      <c r="H489" s="3066" t="s">
        <v>3560</v>
      </c>
      <c r="I489" s="3066" t="s">
        <v>3560</v>
      </c>
      <c r="J489" s="3066" t="s">
        <v>3560</v>
      </c>
      <c r="K489" s="3066" t="s">
        <v>3560</v>
      </c>
      <c r="L489" s="3066" t="s">
        <v>3560</v>
      </c>
      <c r="M489" s="3066" t="s">
        <v>5179</v>
      </c>
      <c r="N489" s="3066">
        <v>40.299999999999997</v>
      </c>
      <c r="O489" s="3066" t="s">
        <v>3560</v>
      </c>
      <c r="P489" s="3066" t="s">
        <v>3560</v>
      </c>
      <c r="Q489" s="3066">
        <v>0</v>
      </c>
      <c r="R489" s="3066">
        <v>0</v>
      </c>
      <c r="S489" s="3066" t="s">
        <v>3577</v>
      </c>
      <c r="T489" s="3066">
        <v>0</v>
      </c>
      <c r="U489" s="3066">
        <v>0</v>
      </c>
      <c r="V489" s="3066" t="s">
        <v>3560</v>
      </c>
      <c r="W489" s="3066" t="s">
        <v>3568</v>
      </c>
      <c r="X489" s="3066">
        <v>0</v>
      </c>
      <c r="Y489" s="3066">
        <v>0</v>
      </c>
      <c r="Z489" s="3066" t="s">
        <v>3568</v>
      </c>
      <c r="AA489" s="3066" t="s">
        <v>3560</v>
      </c>
      <c r="AB489" s="3066" t="s">
        <v>3560</v>
      </c>
      <c r="AC489" s="3066" t="s">
        <v>3560</v>
      </c>
      <c r="AD489" s="3066" t="s">
        <v>3560</v>
      </c>
      <c r="AE489" s="3066" t="s">
        <v>3560</v>
      </c>
      <c r="AF489" s="3067">
        <v>0</v>
      </c>
      <c r="AG489" s="3066">
        <v>0</v>
      </c>
      <c r="AH489" s="3066">
        <v>0</v>
      </c>
      <c r="AI489" s="3066">
        <v>0</v>
      </c>
      <c r="AJ489" s="3066">
        <v>0</v>
      </c>
      <c r="AK489" s="3066">
        <v>0</v>
      </c>
      <c r="AL489" s="3066">
        <v>0</v>
      </c>
      <c r="AM489" s="3066">
        <v>0</v>
      </c>
      <c r="AN489" s="3066" t="s">
        <v>3560</v>
      </c>
      <c r="AP489" s="3068">
        <f t="shared" si="7"/>
        <v>0</v>
      </c>
    </row>
    <row r="490" spans="2:42" ht="27" customHeight="1">
      <c r="B490" s="3066">
        <v>498</v>
      </c>
      <c r="C490" s="3066" t="s">
        <v>3167</v>
      </c>
      <c r="D490" s="3066" t="s">
        <v>4209</v>
      </c>
      <c r="E490" s="3066" t="s">
        <v>5180</v>
      </c>
      <c r="F490" s="3066" t="s">
        <v>3917</v>
      </c>
      <c r="G490" s="3066" t="s">
        <v>3560</v>
      </c>
      <c r="H490" s="3066" t="s">
        <v>3560</v>
      </c>
      <c r="I490" s="3066" t="s">
        <v>3560</v>
      </c>
      <c r="J490" s="3066" t="s">
        <v>3560</v>
      </c>
      <c r="K490" s="3066" t="s">
        <v>3560</v>
      </c>
      <c r="L490" s="3066" t="s">
        <v>3560</v>
      </c>
      <c r="M490" s="3066" t="s">
        <v>5181</v>
      </c>
      <c r="N490" s="3066">
        <v>40.299999999999997</v>
      </c>
      <c r="O490" s="3066" t="s">
        <v>3560</v>
      </c>
      <c r="P490" s="3066" t="s">
        <v>3560</v>
      </c>
      <c r="Q490" s="3066">
        <v>0</v>
      </c>
      <c r="R490" s="3066">
        <v>0</v>
      </c>
      <c r="S490" s="3066" t="s">
        <v>3577</v>
      </c>
      <c r="T490" s="3066">
        <v>0</v>
      </c>
      <c r="U490" s="3066">
        <v>0</v>
      </c>
      <c r="V490" s="3066" t="s">
        <v>3560</v>
      </c>
      <c r="W490" s="3066" t="s">
        <v>3568</v>
      </c>
      <c r="X490" s="3066">
        <v>0</v>
      </c>
      <c r="Y490" s="3066">
        <v>0</v>
      </c>
      <c r="Z490" s="3066" t="s">
        <v>3568</v>
      </c>
      <c r="AA490" s="3066" t="s">
        <v>3560</v>
      </c>
      <c r="AB490" s="3066" t="s">
        <v>3560</v>
      </c>
      <c r="AC490" s="3066" t="s">
        <v>3560</v>
      </c>
      <c r="AD490" s="3066" t="s">
        <v>3560</v>
      </c>
      <c r="AE490" s="3066" t="s">
        <v>3560</v>
      </c>
      <c r="AF490" s="3067">
        <v>0</v>
      </c>
      <c r="AG490" s="3066">
        <v>0</v>
      </c>
      <c r="AH490" s="3066">
        <v>0</v>
      </c>
      <c r="AI490" s="3066">
        <v>0</v>
      </c>
      <c r="AJ490" s="3066">
        <v>0</v>
      </c>
      <c r="AK490" s="3066">
        <v>0</v>
      </c>
      <c r="AL490" s="3066">
        <v>0</v>
      </c>
      <c r="AM490" s="3066">
        <v>0</v>
      </c>
      <c r="AN490" s="3066" t="s">
        <v>3560</v>
      </c>
      <c r="AP490" s="3068">
        <f t="shared" si="7"/>
        <v>0</v>
      </c>
    </row>
    <row r="491" spans="2:42" ht="27" customHeight="1">
      <c r="B491" s="3066">
        <v>499</v>
      </c>
      <c r="C491" s="3066" t="s">
        <v>3167</v>
      </c>
      <c r="D491" s="3066" t="s">
        <v>4209</v>
      </c>
      <c r="E491" s="3066" t="s">
        <v>5182</v>
      </c>
      <c r="F491" s="3066" t="s">
        <v>3917</v>
      </c>
      <c r="G491" s="3066" t="s">
        <v>3560</v>
      </c>
      <c r="H491" s="3066" t="s">
        <v>3560</v>
      </c>
      <c r="I491" s="3066" t="s">
        <v>3560</v>
      </c>
      <c r="J491" s="3066" t="s">
        <v>3560</v>
      </c>
      <c r="K491" s="3066" t="s">
        <v>3560</v>
      </c>
      <c r="L491" s="3066" t="s">
        <v>3560</v>
      </c>
      <c r="M491" s="3066" t="s">
        <v>5183</v>
      </c>
      <c r="N491" s="3066">
        <v>46.3</v>
      </c>
      <c r="O491" s="3066" t="s">
        <v>3560</v>
      </c>
      <c r="P491" s="3066" t="s">
        <v>3560</v>
      </c>
      <c r="Q491" s="3066">
        <v>0</v>
      </c>
      <c r="R491" s="3066">
        <v>0</v>
      </c>
      <c r="S491" s="3066" t="s">
        <v>3577</v>
      </c>
      <c r="T491" s="3066">
        <v>0</v>
      </c>
      <c r="U491" s="3066">
        <v>0</v>
      </c>
      <c r="V491" s="3066" t="s">
        <v>3560</v>
      </c>
      <c r="W491" s="3066" t="s">
        <v>3568</v>
      </c>
      <c r="X491" s="3066">
        <v>0</v>
      </c>
      <c r="Y491" s="3066">
        <v>0</v>
      </c>
      <c r="Z491" s="3066" t="s">
        <v>3568</v>
      </c>
      <c r="AA491" s="3066" t="s">
        <v>3560</v>
      </c>
      <c r="AB491" s="3066" t="s">
        <v>3560</v>
      </c>
      <c r="AC491" s="3066" t="s">
        <v>3560</v>
      </c>
      <c r="AD491" s="3066" t="s">
        <v>3560</v>
      </c>
      <c r="AE491" s="3066" t="s">
        <v>3560</v>
      </c>
      <c r="AF491" s="3067">
        <v>0</v>
      </c>
      <c r="AG491" s="3066">
        <v>0</v>
      </c>
      <c r="AH491" s="3066">
        <v>0</v>
      </c>
      <c r="AI491" s="3066">
        <v>0</v>
      </c>
      <c r="AJ491" s="3066">
        <v>0</v>
      </c>
      <c r="AK491" s="3066">
        <v>0</v>
      </c>
      <c r="AL491" s="3066">
        <v>0</v>
      </c>
      <c r="AM491" s="3066">
        <v>0</v>
      </c>
      <c r="AN491" s="3066" t="s">
        <v>3560</v>
      </c>
      <c r="AP491" s="3068">
        <f t="shared" si="7"/>
        <v>0</v>
      </c>
    </row>
    <row r="492" spans="2:42" ht="27" customHeight="1">
      <c r="B492" s="3066">
        <v>500</v>
      </c>
      <c r="C492" s="3066" t="s">
        <v>3167</v>
      </c>
      <c r="D492" s="3066" t="s">
        <v>3901</v>
      </c>
      <c r="E492" s="3066" t="s">
        <v>5184</v>
      </c>
      <c r="F492" s="3066" t="s">
        <v>3917</v>
      </c>
      <c r="G492" s="3066" t="s">
        <v>3560</v>
      </c>
      <c r="H492" s="3066" t="s">
        <v>3560</v>
      </c>
      <c r="I492" s="3066" t="s">
        <v>3560</v>
      </c>
      <c r="J492" s="3066" t="s">
        <v>3560</v>
      </c>
      <c r="K492" s="3066" t="s">
        <v>3560</v>
      </c>
      <c r="L492" s="3066" t="s">
        <v>3560</v>
      </c>
      <c r="M492" s="3066" t="s">
        <v>5185</v>
      </c>
      <c r="N492" s="3066">
        <v>40.299999999999997</v>
      </c>
      <c r="O492" s="3066" t="s">
        <v>3560</v>
      </c>
      <c r="P492" s="3066" t="s">
        <v>3560</v>
      </c>
      <c r="Q492" s="3066">
        <v>0</v>
      </c>
      <c r="R492" s="3066">
        <v>0</v>
      </c>
      <c r="S492" s="3066" t="s">
        <v>3577</v>
      </c>
      <c r="T492" s="3066">
        <v>0</v>
      </c>
      <c r="U492" s="3066">
        <v>0</v>
      </c>
      <c r="V492" s="3066" t="s">
        <v>3560</v>
      </c>
      <c r="W492" s="3066" t="s">
        <v>3568</v>
      </c>
      <c r="X492" s="3066">
        <v>0</v>
      </c>
      <c r="Y492" s="3066">
        <v>0</v>
      </c>
      <c r="Z492" s="3066" t="s">
        <v>3568</v>
      </c>
      <c r="AA492" s="3066" t="s">
        <v>3560</v>
      </c>
      <c r="AB492" s="3066" t="s">
        <v>3560</v>
      </c>
      <c r="AC492" s="3066" t="s">
        <v>3560</v>
      </c>
      <c r="AD492" s="3066" t="s">
        <v>3560</v>
      </c>
      <c r="AE492" s="3066" t="s">
        <v>3560</v>
      </c>
      <c r="AF492" s="3067">
        <v>0</v>
      </c>
      <c r="AG492" s="3066">
        <v>0</v>
      </c>
      <c r="AH492" s="3066">
        <v>0</v>
      </c>
      <c r="AI492" s="3066">
        <v>0</v>
      </c>
      <c r="AJ492" s="3066">
        <v>0</v>
      </c>
      <c r="AK492" s="3066">
        <v>0</v>
      </c>
      <c r="AL492" s="3066">
        <v>0</v>
      </c>
      <c r="AM492" s="3066">
        <v>0</v>
      </c>
      <c r="AN492" s="3066" t="s">
        <v>3560</v>
      </c>
      <c r="AP492" s="3068">
        <f t="shared" si="7"/>
        <v>0</v>
      </c>
    </row>
    <row r="493" spans="2:42" ht="27" customHeight="1">
      <c r="B493" s="3066">
        <v>501</v>
      </c>
      <c r="C493" s="3066" t="s">
        <v>3167</v>
      </c>
      <c r="D493" s="3066" t="s">
        <v>3901</v>
      </c>
      <c r="E493" s="3066" t="s">
        <v>5186</v>
      </c>
      <c r="F493" s="3066" t="s">
        <v>3917</v>
      </c>
      <c r="G493" s="3066" t="s">
        <v>3560</v>
      </c>
      <c r="H493" s="3066" t="s">
        <v>3560</v>
      </c>
      <c r="I493" s="3066" t="s">
        <v>3560</v>
      </c>
      <c r="J493" s="3066" t="s">
        <v>3560</v>
      </c>
      <c r="K493" s="3066" t="s">
        <v>3560</v>
      </c>
      <c r="L493" s="3066" t="s">
        <v>3560</v>
      </c>
      <c r="M493" s="3066" t="s">
        <v>5187</v>
      </c>
      <c r="N493" s="3066">
        <v>40.299999999999997</v>
      </c>
      <c r="O493" s="3066" t="s">
        <v>3560</v>
      </c>
      <c r="P493" s="3066" t="s">
        <v>3560</v>
      </c>
      <c r="Q493" s="3066">
        <v>0</v>
      </c>
      <c r="R493" s="3066">
        <v>0</v>
      </c>
      <c r="S493" s="3066" t="s">
        <v>3577</v>
      </c>
      <c r="T493" s="3066">
        <v>0</v>
      </c>
      <c r="U493" s="3066">
        <v>0</v>
      </c>
      <c r="V493" s="3066" t="s">
        <v>3560</v>
      </c>
      <c r="W493" s="3066" t="s">
        <v>3568</v>
      </c>
      <c r="X493" s="3066">
        <v>0</v>
      </c>
      <c r="Y493" s="3066">
        <v>0</v>
      </c>
      <c r="Z493" s="3066" t="s">
        <v>3568</v>
      </c>
      <c r="AA493" s="3066" t="s">
        <v>3560</v>
      </c>
      <c r="AB493" s="3066" t="s">
        <v>3560</v>
      </c>
      <c r="AC493" s="3066" t="s">
        <v>3560</v>
      </c>
      <c r="AD493" s="3066" t="s">
        <v>3560</v>
      </c>
      <c r="AE493" s="3066" t="s">
        <v>3560</v>
      </c>
      <c r="AF493" s="3067">
        <v>0</v>
      </c>
      <c r="AG493" s="3066">
        <v>0</v>
      </c>
      <c r="AH493" s="3066">
        <v>0</v>
      </c>
      <c r="AI493" s="3066">
        <v>0</v>
      </c>
      <c r="AJ493" s="3066">
        <v>0</v>
      </c>
      <c r="AK493" s="3066">
        <v>0</v>
      </c>
      <c r="AL493" s="3066">
        <v>0</v>
      </c>
      <c r="AM493" s="3066">
        <v>0</v>
      </c>
      <c r="AN493" s="3066" t="s">
        <v>3560</v>
      </c>
      <c r="AP493" s="3068">
        <f t="shared" si="7"/>
        <v>0</v>
      </c>
    </row>
    <row r="494" spans="2:42" ht="27" customHeight="1">
      <c r="B494" s="3066">
        <v>502</v>
      </c>
      <c r="C494" s="3066" t="s">
        <v>3167</v>
      </c>
      <c r="D494" s="3066" t="s">
        <v>3901</v>
      </c>
      <c r="E494" s="3066" t="s">
        <v>5188</v>
      </c>
      <c r="F494" s="3066" t="s">
        <v>3917</v>
      </c>
      <c r="G494" s="3066" t="s">
        <v>3560</v>
      </c>
      <c r="H494" s="3066" t="s">
        <v>3560</v>
      </c>
      <c r="I494" s="3066" t="s">
        <v>3560</v>
      </c>
      <c r="J494" s="3066" t="s">
        <v>3560</v>
      </c>
      <c r="K494" s="3066" t="s">
        <v>3560</v>
      </c>
      <c r="L494" s="3066" t="s">
        <v>3560</v>
      </c>
      <c r="M494" s="3066" t="s">
        <v>5189</v>
      </c>
      <c r="N494" s="3066">
        <v>40.299999999999997</v>
      </c>
      <c r="O494" s="3066" t="s">
        <v>3560</v>
      </c>
      <c r="P494" s="3066" t="s">
        <v>3560</v>
      </c>
      <c r="Q494" s="3066">
        <v>0</v>
      </c>
      <c r="R494" s="3066">
        <v>0</v>
      </c>
      <c r="S494" s="3066" t="s">
        <v>3577</v>
      </c>
      <c r="T494" s="3066">
        <v>0</v>
      </c>
      <c r="U494" s="3066">
        <v>0</v>
      </c>
      <c r="V494" s="3066" t="s">
        <v>3560</v>
      </c>
      <c r="W494" s="3066" t="s">
        <v>3568</v>
      </c>
      <c r="X494" s="3066">
        <v>0</v>
      </c>
      <c r="Y494" s="3066">
        <v>0</v>
      </c>
      <c r="Z494" s="3066" t="s">
        <v>3568</v>
      </c>
      <c r="AA494" s="3066" t="s">
        <v>3560</v>
      </c>
      <c r="AB494" s="3066" t="s">
        <v>3560</v>
      </c>
      <c r="AC494" s="3066" t="s">
        <v>3560</v>
      </c>
      <c r="AD494" s="3066" t="s">
        <v>3560</v>
      </c>
      <c r="AE494" s="3066" t="s">
        <v>3560</v>
      </c>
      <c r="AF494" s="3067">
        <v>0</v>
      </c>
      <c r="AG494" s="3066">
        <v>0</v>
      </c>
      <c r="AH494" s="3066">
        <v>0</v>
      </c>
      <c r="AI494" s="3066">
        <v>0</v>
      </c>
      <c r="AJ494" s="3066">
        <v>0</v>
      </c>
      <c r="AK494" s="3066">
        <v>0</v>
      </c>
      <c r="AL494" s="3066">
        <v>0</v>
      </c>
      <c r="AM494" s="3066">
        <v>0</v>
      </c>
      <c r="AN494" s="3066" t="s">
        <v>3560</v>
      </c>
      <c r="AP494" s="3068">
        <f t="shared" si="7"/>
        <v>0</v>
      </c>
    </row>
    <row r="495" spans="2:42" ht="27" customHeight="1">
      <c r="B495" s="3066">
        <v>503</v>
      </c>
      <c r="C495" s="3066" t="s">
        <v>3167</v>
      </c>
      <c r="D495" s="3066" t="s">
        <v>3901</v>
      </c>
      <c r="E495" s="3066" t="s">
        <v>5190</v>
      </c>
      <c r="F495" s="3066" t="s">
        <v>3917</v>
      </c>
      <c r="G495" s="3066" t="s">
        <v>3560</v>
      </c>
      <c r="H495" s="3066" t="s">
        <v>3560</v>
      </c>
      <c r="I495" s="3066" t="s">
        <v>3560</v>
      </c>
      <c r="J495" s="3066" t="s">
        <v>3560</v>
      </c>
      <c r="K495" s="3066" t="s">
        <v>3560</v>
      </c>
      <c r="L495" s="3066" t="s">
        <v>3560</v>
      </c>
      <c r="M495" s="3066" t="s">
        <v>5191</v>
      </c>
      <c r="N495" s="3066">
        <v>40.299999999999997</v>
      </c>
      <c r="O495" s="3066" t="s">
        <v>3560</v>
      </c>
      <c r="P495" s="3066" t="s">
        <v>3560</v>
      </c>
      <c r="Q495" s="3066">
        <v>0</v>
      </c>
      <c r="R495" s="3066">
        <v>0</v>
      </c>
      <c r="S495" s="3066" t="s">
        <v>3577</v>
      </c>
      <c r="T495" s="3066">
        <v>0</v>
      </c>
      <c r="U495" s="3066">
        <v>0</v>
      </c>
      <c r="V495" s="3066" t="s">
        <v>3560</v>
      </c>
      <c r="W495" s="3066" t="s">
        <v>3568</v>
      </c>
      <c r="X495" s="3066">
        <v>0</v>
      </c>
      <c r="Y495" s="3066">
        <v>0</v>
      </c>
      <c r="Z495" s="3066" t="s">
        <v>3568</v>
      </c>
      <c r="AA495" s="3066" t="s">
        <v>3560</v>
      </c>
      <c r="AB495" s="3066" t="s">
        <v>3560</v>
      </c>
      <c r="AC495" s="3066" t="s">
        <v>3560</v>
      </c>
      <c r="AD495" s="3066" t="s">
        <v>3560</v>
      </c>
      <c r="AE495" s="3066" t="s">
        <v>3560</v>
      </c>
      <c r="AF495" s="3067">
        <v>0</v>
      </c>
      <c r="AG495" s="3066">
        <v>0</v>
      </c>
      <c r="AH495" s="3066">
        <v>0</v>
      </c>
      <c r="AI495" s="3066">
        <v>0</v>
      </c>
      <c r="AJ495" s="3066">
        <v>0</v>
      </c>
      <c r="AK495" s="3066">
        <v>0</v>
      </c>
      <c r="AL495" s="3066">
        <v>0</v>
      </c>
      <c r="AM495" s="3066">
        <v>0</v>
      </c>
      <c r="AN495" s="3066" t="s">
        <v>3560</v>
      </c>
      <c r="AP495" s="3068">
        <f t="shared" si="7"/>
        <v>0</v>
      </c>
    </row>
    <row r="496" spans="2:42" ht="27" customHeight="1">
      <c r="B496" s="3066">
        <v>504</v>
      </c>
      <c r="C496" s="3066" t="s">
        <v>3167</v>
      </c>
      <c r="D496" s="3066" t="s">
        <v>3901</v>
      </c>
      <c r="E496" s="3066" t="s">
        <v>5192</v>
      </c>
      <c r="F496" s="3066" t="s">
        <v>3917</v>
      </c>
      <c r="G496" s="3066" t="s">
        <v>3560</v>
      </c>
      <c r="H496" s="3066" t="s">
        <v>3560</v>
      </c>
      <c r="I496" s="3066" t="s">
        <v>3560</v>
      </c>
      <c r="J496" s="3066" t="s">
        <v>3560</v>
      </c>
      <c r="K496" s="3066" t="s">
        <v>3560</v>
      </c>
      <c r="L496" s="3066" t="s">
        <v>3560</v>
      </c>
      <c r="M496" s="3066" t="s">
        <v>5193</v>
      </c>
      <c r="N496" s="3066">
        <v>40.299999999999997</v>
      </c>
      <c r="O496" s="3066" t="s">
        <v>3560</v>
      </c>
      <c r="P496" s="3066" t="s">
        <v>3560</v>
      </c>
      <c r="Q496" s="3066">
        <v>0</v>
      </c>
      <c r="R496" s="3066">
        <v>0</v>
      </c>
      <c r="S496" s="3066" t="s">
        <v>3577</v>
      </c>
      <c r="T496" s="3066">
        <v>0</v>
      </c>
      <c r="U496" s="3066">
        <v>0</v>
      </c>
      <c r="V496" s="3066" t="s">
        <v>3560</v>
      </c>
      <c r="W496" s="3066" t="s">
        <v>3568</v>
      </c>
      <c r="X496" s="3066">
        <v>0</v>
      </c>
      <c r="Y496" s="3066">
        <v>0</v>
      </c>
      <c r="Z496" s="3066" t="s">
        <v>3568</v>
      </c>
      <c r="AA496" s="3066" t="s">
        <v>3560</v>
      </c>
      <c r="AB496" s="3066" t="s">
        <v>3560</v>
      </c>
      <c r="AC496" s="3066" t="s">
        <v>3560</v>
      </c>
      <c r="AD496" s="3066" t="s">
        <v>3560</v>
      </c>
      <c r="AE496" s="3066" t="s">
        <v>3560</v>
      </c>
      <c r="AF496" s="3067">
        <v>0</v>
      </c>
      <c r="AG496" s="3066">
        <v>0</v>
      </c>
      <c r="AH496" s="3066">
        <v>0</v>
      </c>
      <c r="AI496" s="3066">
        <v>0</v>
      </c>
      <c r="AJ496" s="3066">
        <v>0</v>
      </c>
      <c r="AK496" s="3066">
        <v>0</v>
      </c>
      <c r="AL496" s="3066">
        <v>0</v>
      </c>
      <c r="AM496" s="3066">
        <v>0</v>
      </c>
      <c r="AN496" s="3066" t="s">
        <v>3560</v>
      </c>
      <c r="AP496" s="3068">
        <f t="shared" si="7"/>
        <v>0</v>
      </c>
    </row>
    <row r="497" spans="2:42" ht="27" customHeight="1">
      <c r="B497" s="3066">
        <v>505</v>
      </c>
      <c r="C497" s="3066" t="s">
        <v>3167</v>
      </c>
      <c r="D497" s="3066" t="s">
        <v>3901</v>
      </c>
      <c r="E497" s="3066" t="s">
        <v>5194</v>
      </c>
      <c r="F497" s="3066" t="s">
        <v>3917</v>
      </c>
      <c r="G497" s="3066" t="s">
        <v>3560</v>
      </c>
      <c r="H497" s="3066" t="s">
        <v>3560</v>
      </c>
      <c r="I497" s="3066" t="s">
        <v>3560</v>
      </c>
      <c r="J497" s="3066" t="s">
        <v>3560</v>
      </c>
      <c r="K497" s="3066" t="s">
        <v>3560</v>
      </c>
      <c r="L497" s="3066" t="s">
        <v>3560</v>
      </c>
      <c r="M497" s="3066" t="s">
        <v>5195</v>
      </c>
      <c r="N497" s="3066">
        <v>40.299999999999997</v>
      </c>
      <c r="O497" s="3066" t="s">
        <v>3560</v>
      </c>
      <c r="P497" s="3066" t="s">
        <v>3560</v>
      </c>
      <c r="Q497" s="3066">
        <v>0</v>
      </c>
      <c r="R497" s="3066">
        <v>0</v>
      </c>
      <c r="S497" s="3066" t="s">
        <v>3577</v>
      </c>
      <c r="T497" s="3066">
        <v>0</v>
      </c>
      <c r="U497" s="3066">
        <v>0</v>
      </c>
      <c r="V497" s="3066" t="s">
        <v>3560</v>
      </c>
      <c r="W497" s="3066" t="s">
        <v>3568</v>
      </c>
      <c r="X497" s="3066">
        <v>0</v>
      </c>
      <c r="Y497" s="3066">
        <v>0</v>
      </c>
      <c r="Z497" s="3066" t="s">
        <v>3568</v>
      </c>
      <c r="AA497" s="3066" t="s">
        <v>3560</v>
      </c>
      <c r="AB497" s="3066" t="s">
        <v>3560</v>
      </c>
      <c r="AC497" s="3066" t="s">
        <v>3560</v>
      </c>
      <c r="AD497" s="3066" t="s">
        <v>3560</v>
      </c>
      <c r="AE497" s="3066" t="s">
        <v>3560</v>
      </c>
      <c r="AF497" s="3067">
        <v>0</v>
      </c>
      <c r="AG497" s="3066">
        <v>0</v>
      </c>
      <c r="AH497" s="3066">
        <v>0</v>
      </c>
      <c r="AI497" s="3066">
        <v>0</v>
      </c>
      <c r="AJ497" s="3066">
        <v>0</v>
      </c>
      <c r="AK497" s="3066">
        <v>0</v>
      </c>
      <c r="AL497" s="3066">
        <v>0</v>
      </c>
      <c r="AM497" s="3066">
        <v>0</v>
      </c>
      <c r="AN497" s="3066" t="s">
        <v>3560</v>
      </c>
      <c r="AP497" s="3068">
        <f t="shared" si="7"/>
        <v>0</v>
      </c>
    </row>
    <row r="498" spans="2:42" ht="27" customHeight="1">
      <c r="B498" s="3066">
        <v>506</v>
      </c>
      <c r="C498" s="3066" t="s">
        <v>3167</v>
      </c>
      <c r="D498" s="3066" t="s">
        <v>3901</v>
      </c>
      <c r="E498" s="3066" t="s">
        <v>5196</v>
      </c>
      <c r="F498" s="3066" t="s">
        <v>3917</v>
      </c>
      <c r="G498" s="3066" t="s">
        <v>3560</v>
      </c>
      <c r="H498" s="3066" t="s">
        <v>3560</v>
      </c>
      <c r="I498" s="3066" t="s">
        <v>3560</v>
      </c>
      <c r="J498" s="3066" t="s">
        <v>3560</v>
      </c>
      <c r="K498" s="3066" t="s">
        <v>3560</v>
      </c>
      <c r="L498" s="3066" t="s">
        <v>3560</v>
      </c>
      <c r="M498" s="3066" t="s">
        <v>5197</v>
      </c>
      <c r="N498" s="3066">
        <v>40.299999999999997</v>
      </c>
      <c r="O498" s="3066" t="s">
        <v>3560</v>
      </c>
      <c r="P498" s="3066" t="s">
        <v>3560</v>
      </c>
      <c r="Q498" s="3066">
        <v>0</v>
      </c>
      <c r="R498" s="3066">
        <v>0</v>
      </c>
      <c r="S498" s="3066" t="s">
        <v>3577</v>
      </c>
      <c r="T498" s="3066">
        <v>0</v>
      </c>
      <c r="U498" s="3066">
        <v>0</v>
      </c>
      <c r="V498" s="3066" t="s">
        <v>3560</v>
      </c>
      <c r="W498" s="3066" t="s">
        <v>3568</v>
      </c>
      <c r="X498" s="3066">
        <v>0</v>
      </c>
      <c r="Y498" s="3066">
        <v>0</v>
      </c>
      <c r="Z498" s="3066" t="s">
        <v>3568</v>
      </c>
      <c r="AA498" s="3066" t="s">
        <v>3560</v>
      </c>
      <c r="AB498" s="3066" t="s">
        <v>3560</v>
      </c>
      <c r="AC498" s="3066" t="s">
        <v>3560</v>
      </c>
      <c r="AD498" s="3066" t="s">
        <v>3560</v>
      </c>
      <c r="AE498" s="3066" t="s">
        <v>3560</v>
      </c>
      <c r="AF498" s="3067">
        <v>0</v>
      </c>
      <c r="AG498" s="3066">
        <v>0</v>
      </c>
      <c r="AH498" s="3066">
        <v>0</v>
      </c>
      <c r="AI498" s="3066">
        <v>0</v>
      </c>
      <c r="AJ498" s="3066">
        <v>0</v>
      </c>
      <c r="AK498" s="3066">
        <v>0</v>
      </c>
      <c r="AL498" s="3066">
        <v>0</v>
      </c>
      <c r="AM498" s="3066">
        <v>0</v>
      </c>
      <c r="AN498" s="3066" t="s">
        <v>3560</v>
      </c>
      <c r="AP498" s="3068">
        <f t="shared" si="7"/>
        <v>0</v>
      </c>
    </row>
    <row r="499" spans="2:42" ht="27" customHeight="1">
      <c r="B499" s="3066">
        <v>507</v>
      </c>
      <c r="C499" s="3066" t="s">
        <v>3167</v>
      </c>
      <c r="D499" s="3066" t="s">
        <v>3901</v>
      </c>
      <c r="E499" s="3066" t="s">
        <v>5198</v>
      </c>
      <c r="F499" s="3066" t="s">
        <v>3917</v>
      </c>
      <c r="G499" s="3066" t="s">
        <v>3560</v>
      </c>
      <c r="H499" s="3066" t="s">
        <v>3560</v>
      </c>
      <c r="I499" s="3066" t="s">
        <v>3560</v>
      </c>
      <c r="J499" s="3066" t="s">
        <v>3560</v>
      </c>
      <c r="K499" s="3066" t="s">
        <v>3560</v>
      </c>
      <c r="L499" s="3066" t="s">
        <v>3560</v>
      </c>
      <c r="M499" s="3066" t="s">
        <v>5199</v>
      </c>
      <c r="N499" s="3066">
        <v>40.299999999999997</v>
      </c>
      <c r="O499" s="3066" t="s">
        <v>3560</v>
      </c>
      <c r="P499" s="3066" t="s">
        <v>3560</v>
      </c>
      <c r="Q499" s="3066">
        <v>0</v>
      </c>
      <c r="R499" s="3066">
        <v>0</v>
      </c>
      <c r="S499" s="3066" t="s">
        <v>3577</v>
      </c>
      <c r="T499" s="3066">
        <v>0</v>
      </c>
      <c r="U499" s="3066">
        <v>0</v>
      </c>
      <c r="V499" s="3066" t="s">
        <v>3560</v>
      </c>
      <c r="W499" s="3066" t="s">
        <v>3568</v>
      </c>
      <c r="X499" s="3066">
        <v>0</v>
      </c>
      <c r="Y499" s="3066">
        <v>0</v>
      </c>
      <c r="Z499" s="3066" t="s">
        <v>3568</v>
      </c>
      <c r="AA499" s="3066" t="s">
        <v>3560</v>
      </c>
      <c r="AB499" s="3066" t="s">
        <v>3560</v>
      </c>
      <c r="AC499" s="3066" t="s">
        <v>3560</v>
      </c>
      <c r="AD499" s="3066" t="s">
        <v>3560</v>
      </c>
      <c r="AE499" s="3066" t="s">
        <v>3560</v>
      </c>
      <c r="AF499" s="3067">
        <v>0</v>
      </c>
      <c r="AG499" s="3066">
        <v>0</v>
      </c>
      <c r="AH499" s="3066">
        <v>0</v>
      </c>
      <c r="AI499" s="3066">
        <v>0</v>
      </c>
      <c r="AJ499" s="3066">
        <v>0</v>
      </c>
      <c r="AK499" s="3066">
        <v>0</v>
      </c>
      <c r="AL499" s="3066">
        <v>0</v>
      </c>
      <c r="AM499" s="3066">
        <v>0</v>
      </c>
      <c r="AN499" s="3066" t="s">
        <v>3560</v>
      </c>
      <c r="AP499" s="3068">
        <f t="shared" si="7"/>
        <v>0</v>
      </c>
    </row>
    <row r="500" spans="2:42" ht="27" customHeight="1">
      <c r="B500" s="3066">
        <v>508</v>
      </c>
      <c r="C500" s="3066" t="s">
        <v>3167</v>
      </c>
      <c r="D500" s="3066" t="s">
        <v>3901</v>
      </c>
      <c r="E500" s="3066" t="s">
        <v>5200</v>
      </c>
      <c r="F500" s="3066" t="s">
        <v>3917</v>
      </c>
      <c r="G500" s="3066" t="s">
        <v>3560</v>
      </c>
      <c r="H500" s="3066" t="s">
        <v>3560</v>
      </c>
      <c r="I500" s="3066" t="s">
        <v>3560</v>
      </c>
      <c r="J500" s="3066" t="s">
        <v>3560</v>
      </c>
      <c r="K500" s="3066" t="s">
        <v>3560</v>
      </c>
      <c r="L500" s="3066" t="s">
        <v>3560</v>
      </c>
      <c r="M500" s="3066" t="s">
        <v>5201</v>
      </c>
      <c r="N500" s="3066">
        <v>40.299999999999997</v>
      </c>
      <c r="O500" s="3066" t="s">
        <v>3560</v>
      </c>
      <c r="P500" s="3066" t="s">
        <v>3560</v>
      </c>
      <c r="Q500" s="3066">
        <v>0</v>
      </c>
      <c r="R500" s="3066">
        <v>0</v>
      </c>
      <c r="S500" s="3066" t="s">
        <v>3577</v>
      </c>
      <c r="T500" s="3066">
        <v>0</v>
      </c>
      <c r="U500" s="3066">
        <v>0</v>
      </c>
      <c r="V500" s="3066" t="s">
        <v>3560</v>
      </c>
      <c r="W500" s="3066" t="s">
        <v>3568</v>
      </c>
      <c r="X500" s="3066">
        <v>0</v>
      </c>
      <c r="Y500" s="3066">
        <v>0</v>
      </c>
      <c r="Z500" s="3066" t="s">
        <v>3568</v>
      </c>
      <c r="AA500" s="3066" t="s">
        <v>3560</v>
      </c>
      <c r="AB500" s="3066" t="s">
        <v>3560</v>
      </c>
      <c r="AC500" s="3066" t="s">
        <v>3560</v>
      </c>
      <c r="AD500" s="3066" t="s">
        <v>3560</v>
      </c>
      <c r="AE500" s="3066" t="s">
        <v>3560</v>
      </c>
      <c r="AF500" s="3067">
        <v>0</v>
      </c>
      <c r="AG500" s="3066">
        <v>0</v>
      </c>
      <c r="AH500" s="3066">
        <v>0</v>
      </c>
      <c r="AI500" s="3066">
        <v>0</v>
      </c>
      <c r="AJ500" s="3066">
        <v>0</v>
      </c>
      <c r="AK500" s="3066">
        <v>0</v>
      </c>
      <c r="AL500" s="3066">
        <v>0</v>
      </c>
      <c r="AM500" s="3066">
        <v>0</v>
      </c>
      <c r="AN500" s="3066" t="s">
        <v>3560</v>
      </c>
      <c r="AP500" s="3068">
        <f t="shared" si="7"/>
        <v>0</v>
      </c>
    </row>
    <row r="501" spans="2:42" ht="27" customHeight="1">
      <c r="B501" s="3066">
        <v>509</v>
      </c>
      <c r="C501" s="3066" t="s">
        <v>3167</v>
      </c>
      <c r="D501" s="3066" t="s">
        <v>3901</v>
      </c>
      <c r="E501" s="3066" t="s">
        <v>5202</v>
      </c>
      <c r="F501" s="3066" t="s">
        <v>3917</v>
      </c>
      <c r="G501" s="3066" t="s">
        <v>3560</v>
      </c>
      <c r="H501" s="3066" t="s">
        <v>3560</v>
      </c>
      <c r="I501" s="3066" t="s">
        <v>3560</v>
      </c>
      <c r="J501" s="3066" t="s">
        <v>3560</v>
      </c>
      <c r="K501" s="3066" t="s">
        <v>3560</v>
      </c>
      <c r="L501" s="3066" t="s">
        <v>3560</v>
      </c>
      <c r="M501" s="3066" t="s">
        <v>5203</v>
      </c>
      <c r="N501" s="3066">
        <v>40.299999999999997</v>
      </c>
      <c r="O501" s="3066" t="s">
        <v>3560</v>
      </c>
      <c r="P501" s="3066" t="s">
        <v>3560</v>
      </c>
      <c r="Q501" s="3066">
        <v>0</v>
      </c>
      <c r="R501" s="3066">
        <v>0</v>
      </c>
      <c r="S501" s="3066" t="s">
        <v>3577</v>
      </c>
      <c r="T501" s="3066">
        <v>0</v>
      </c>
      <c r="U501" s="3066">
        <v>0</v>
      </c>
      <c r="V501" s="3066" t="s">
        <v>3560</v>
      </c>
      <c r="W501" s="3066" t="s">
        <v>3568</v>
      </c>
      <c r="X501" s="3066">
        <v>0</v>
      </c>
      <c r="Y501" s="3066">
        <v>0</v>
      </c>
      <c r="Z501" s="3066" t="s">
        <v>3568</v>
      </c>
      <c r="AA501" s="3066" t="s">
        <v>3560</v>
      </c>
      <c r="AB501" s="3066" t="s">
        <v>3560</v>
      </c>
      <c r="AC501" s="3066" t="s">
        <v>3560</v>
      </c>
      <c r="AD501" s="3066" t="s">
        <v>3560</v>
      </c>
      <c r="AE501" s="3066" t="s">
        <v>3560</v>
      </c>
      <c r="AF501" s="3067">
        <v>0</v>
      </c>
      <c r="AG501" s="3066">
        <v>0</v>
      </c>
      <c r="AH501" s="3066">
        <v>0</v>
      </c>
      <c r="AI501" s="3066">
        <v>0</v>
      </c>
      <c r="AJ501" s="3066">
        <v>0</v>
      </c>
      <c r="AK501" s="3066">
        <v>0</v>
      </c>
      <c r="AL501" s="3066">
        <v>0</v>
      </c>
      <c r="AM501" s="3066">
        <v>0</v>
      </c>
      <c r="AN501" s="3066" t="s">
        <v>3560</v>
      </c>
      <c r="AP501" s="3068">
        <f t="shared" si="7"/>
        <v>0</v>
      </c>
    </row>
    <row r="502" spans="2:42" ht="27" customHeight="1">
      <c r="B502" s="3066">
        <v>510</v>
      </c>
      <c r="C502" s="3066" t="s">
        <v>3167</v>
      </c>
      <c r="D502" s="3066" t="s">
        <v>3901</v>
      </c>
      <c r="E502" s="3066" t="s">
        <v>5204</v>
      </c>
      <c r="F502" s="3066" t="s">
        <v>3917</v>
      </c>
      <c r="G502" s="3066" t="s">
        <v>3560</v>
      </c>
      <c r="H502" s="3066" t="s">
        <v>3560</v>
      </c>
      <c r="I502" s="3066" t="s">
        <v>3560</v>
      </c>
      <c r="J502" s="3066" t="s">
        <v>3560</v>
      </c>
      <c r="K502" s="3066" t="s">
        <v>3560</v>
      </c>
      <c r="L502" s="3066" t="s">
        <v>3560</v>
      </c>
      <c r="M502" s="3066" t="s">
        <v>5205</v>
      </c>
      <c r="N502" s="3066">
        <v>40.299999999999997</v>
      </c>
      <c r="O502" s="3066" t="s">
        <v>3560</v>
      </c>
      <c r="P502" s="3066" t="s">
        <v>3560</v>
      </c>
      <c r="Q502" s="3066">
        <v>0</v>
      </c>
      <c r="R502" s="3066">
        <v>0</v>
      </c>
      <c r="S502" s="3066" t="s">
        <v>3577</v>
      </c>
      <c r="T502" s="3066">
        <v>0</v>
      </c>
      <c r="U502" s="3066">
        <v>0</v>
      </c>
      <c r="V502" s="3066" t="s">
        <v>3560</v>
      </c>
      <c r="W502" s="3066" t="s">
        <v>3568</v>
      </c>
      <c r="X502" s="3066">
        <v>0</v>
      </c>
      <c r="Y502" s="3066">
        <v>0</v>
      </c>
      <c r="Z502" s="3066" t="s">
        <v>3568</v>
      </c>
      <c r="AA502" s="3066" t="s">
        <v>3560</v>
      </c>
      <c r="AB502" s="3066" t="s">
        <v>3560</v>
      </c>
      <c r="AC502" s="3066" t="s">
        <v>3560</v>
      </c>
      <c r="AD502" s="3066" t="s">
        <v>3560</v>
      </c>
      <c r="AE502" s="3066" t="s">
        <v>3560</v>
      </c>
      <c r="AF502" s="3067">
        <v>0</v>
      </c>
      <c r="AG502" s="3066">
        <v>0</v>
      </c>
      <c r="AH502" s="3066">
        <v>0</v>
      </c>
      <c r="AI502" s="3066">
        <v>0</v>
      </c>
      <c r="AJ502" s="3066">
        <v>0</v>
      </c>
      <c r="AK502" s="3066">
        <v>0</v>
      </c>
      <c r="AL502" s="3066">
        <v>0</v>
      </c>
      <c r="AM502" s="3066">
        <v>0</v>
      </c>
      <c r="AN502" s="3066" t="s">
        <v>3560</v>
      </c>
      <c r="AP502" s="3068">
        <f t="shared" si="7"/>
        <v>0</v>
      </c>
    </row>
    <row r="503" spans="2:42" ht="27" customHeight="1">
      <c r="B503" s="3066">
        <v>511</v>
      </c>
      <c r="C503" s="3066" t="s">
        <v>3167</v>
      </c>
      <c r="D503" s="3066" t="s">
        <v>3901</v>
      </c>
      <c r="E503" s="3066" t="s">
        <v>5206</v>
      </c>
      <c r="F503" s="3066" t="s">
        <v>3917</v>
      </c>
      <c r="G503" s="3066" t="s">
        <v>3560</v>
      </c>
      <c r="H503" s="3066" t="s">
        <v>3560</v>
      </c>
      <c r="I503" s="3066" t="s">
        <v>3560</v>
      </c>
      <c r="J503" s="3066" t="s">
        <v>3560</v>
      </c>
      <c r="K503" s="3066" t="s">
        <v>3560</v>
      </c>
      <c r="L503" s="3066" t="s">
        <v>3560</v>
      </c>
      <c r="M503" s="3066" t="s">
        <v>5207</v>
      </c>
      <c r="N503" s="3066">
        <v>46.3</v>
      </c>
      <c r="O503" s="3066" t="s">
        <v>3560</v>
      </c>
      <c r="P503" s="3066" t="s">
        <v>3560</v>
      </c>
      <c r="Q503" s="3066">
        <v>0</v>
      </c>
      <c r="R503" s="3066">
        <v>0</v>
      </c>
      <c r="S503" s="3066" t="s">
        <v>3577</v>
      </c>
      <c r="T503" s="3066">
        <v>0</v>
      </c>
      <c r="U503" s="3066">
        <v>0</v>
      </c>
      <c r="V503" s="3066" t="s">
        <v>3560</v>
      </c>
      <c r="W503" s="3066" t="s">
        <v>3568</v>
      </c>
      <c r="X503" s="3066">
        <v>0</v>
      </c>
      <c r="Y503" s="3066">
        <v>0</v>
      </c>
      <c r="Z503" s="3066" t="s">
        <v>3568</v>
      </c>
      <c r="AA503" s="3066" t="s">
        <v>3560</v>
      </c>
      <c r="AB503" s="3066" t="s">
        <v>3560</v>
      </c>
      <c r="AC503" s="3066" t="s">
        <v>3560</v>
      </c>
      <c r="AD503" s="3066" t="s">
        <v>3560</v>
      </c>
      <c r="AE503" s="3066" t="s">
        <v>3560</v>
      </c>
      <c r="AF503" s="3067">
        <v>0</v>
      </c>
      <c r="AG503" s="3066">
        <v>0</v>
      </c>
      <c r="AH503" s="3066">
        <v>0</v>
      </c>
      <c r="AI503" s="3066">
        <v>0</v>
      </c>
      <c r="AJ503" s="3066">
        <v>0</v>
      </c>
      <c r="AK503" s="3066">
        <v>0</v>
      </c>
      <c r="AL503" s="3066">
        <v>0</v>
      </c>
      <c r="AM503" s="3066">
        <v>0</v>
      </c>
      <c r="AN503" s="3066" t="s">
        <v>3560</v>
      </c>
      <c r="AP503" s="3068">
        <f t="shared" si="7"/>
        <v>0</v>
      </c>
    </row>
    <row r="504" spans="2:42" ht="27" customHeight="1">
      <c r="B504" s="3066">
        <v>512</v>
      </c>
      <c r="C504" s="3066" t="s">
        <v>5208</v>
      </c>
      <c r="D504" s="3066" t="s">
        <v>4019</v>
      </c>
      <c r="E504" s="3066" t="s">
        <v>5209</v>
      </c>
      <c r="F504" s="3066" t="s">
        <v>3917</v>
      </c>
      <c r="G504" s="3066" t="s">
        <v>1373</v>
      </c>
      <c r="H504" s="3066" t="s">
        <v>3560</v>
      </c>
      <c r="I504" s="3066" t="s">
        <v>4513</v>
      </c>
      <c r="J504" s="3066" t="s">
        <v>3560</v>
      </c>
      <c r="K504" s="3066" t="s">
        <v>3560</v>
      </c>
      <c r="L504" s="3066" t="s">
        <v>4514</v>
      </c>
      <c r="M504" s="3066" t="s">
        <v>5210</v>
      </c>
      <c r="N504" s="3066">
        <v>37.799999999999997</v>
      </c>
      <c r="O504" s="3066" t="s">
        <v>5211</v>
      </c>
      <c r="P504" s="3066" t="s">
        <v>3566</v>
      </c>
      <c r="Q504" s="3066">
        <v>1</v>
      </c>
      <c r="R504" s="3066">
        <v>13191</v>
      </c>
      <c r="S504" s="3066" t="s">
        <v>3567</v>
      </c>
      <c r="T504" s="3066">
        <v>21</v>
      </c>
      <c r="U504" s="3066">
        <v>793.8</v>
      </c>
      <c r="V504" s="3066" t="s">
        <v>3560</v>
      </c>
      <c r="W504" s="3066" t="s">
        <v>3568</v>
      </c>
      <c r="X504" s="3066">
        <v>2.2599999999999998</v>
      </c>
      <c r="Y504" s="3066">
        <v>1027.2</v>
      </c>
      <c r="Z504" s="3066" t="s">
        <v>3568</v>
      </c>
      <c r="AA504" s="3066" t="s">
        <v>3560</v>
      </c>
      <c r="AB504" s="3066" t="s">
        <v>3943</v>
      </c>
      <c r="AC504" s="3066" t="s">
        <v>3943</v>
      </c>
      <c r="AD504" s="3066" t="s">
        <v>3943</v>
      </c>
      <c r="AE504" s="3066" t="s">
        <v>3560</v>
      </c>
      <c r="AF504" s="3067">
        <v>0</v>
      </c>
      <c r="AG504" s="3066">
        <v>0</v>
      </c>
      <c r="AH504" s="3066">
        <v>0</v>
      </c>
      <c r="AI504" s="3066">
        <v>0</v>
      </c>
      <c r="AJ504" s="3066">
        <v>0</v>
      </c>
      <c r="AK504" s="3066">
        <v>0</v>
      </c>
      <c r="AL504" s="3066">
        <v>0</v>
      </c>
      <c r="AM504" s="3066">
        <v>0</v>
      </c>
      <c r="AN504" s="3066" t="s">
        <v>3560</v>
      </c>
      <c r="AP504" s="3068">
        <f t="shared" si="7"/>
        <v>0</v>
      </c>
    </row>
    <row r="505" spans="2:42" ht="27" customHeight="1">
      <c r="B505" s="3066">
        <v>513</v>
      </c>
      <c r="C505" s="3066" t="s">
        <v>5208</v>
      </c>
      <c r="D505" s="3066" t="s">
        <v>4019</v>
      </c>
      <c r="E505" s="3066" t="s">
        <v>5212</v>
      </c>
      <c r="F505" s="3066" t="s">
        <v>3917</v>
      </c>
      <c r="G505" s="3066" t="s">
        <v>1373</v>
      </c>
      <c r="H505" s="3066" t="s">
        <v>3560</v>
      </c>
      <c r="I505" s="3066" t="s">
        <v>4513</v>
      </c>
      <c r="J505" s="3066" t="s">
        <v>3560</v>
      </c>
      <c r="K505" s="3066" t="s">
        <v>3560</v>
      </c>
      <c r="L505" s="3066" t="s">
        <v>4514</v>
      </c>
      <c r="M505" s="3066" t="s">
        <v>5213</v>
      </c>
      <c r="N505" s="3066">
        <v>37.799999999999997</v>
      </c>
      <c r="O505" s="3066" t="s">
        <v>5211</v>
      </c>
      <c r="P505" s="3066" t="s">
        <v>3566</v>
      </c>
      <c r="Q505" s="3066">
        <v>1</v>
      </c>
      <c r="R505" s="3066">
        <v>0</v>
      </c>
      <c r="S505" s="3066" t="s">
        <v>3577</v>
      </c>
      <c r="T505" s="3066">
        <v>21</v>
      </c>
      <c r="U505" s="3066">
        <v>793.8</v>
      </c>
      <c r="V505" s="3066" t="s">
        <v>3560</v>
      </c>
      <c r="W505" s="3066" t="s">
        <v>3568</v>
      </c>
      <c r="X505" s="3066">
        <v>2.2599999999999998</v>
      </c>
      <c r="Y505" s="3066">
        <v>1027.2</v>
      </c>
      <c r="Z505" s="3066" t="s">
        <v>3568</v>
      </c>
      <c r="AA505" s="3066" t="s">
        <v>3560</v>
      </c>
      <c r="AB505" s="3066" t="s">
        <v>3943</v>
      </c>
      <c r="AC505" s="3066" t="s">
        <v>3943</v>
      </c>
      <c r="AD505" s="3066" t="s">
        <v>3943</v>
      </c>
      <c r="AE505" s="3066" t="s">
        <v>3560</v>
      </c>
      <c r="AF505" s="3067">
        <v>0</v>
      </c>
      <c r="AG505" s="3066">
        <v>0</v>
      </c>
      <c r="AH505" s="3066">
        <v>0</v>
      </c>
      <c r="AI505" s="3066">
        <v>0</v>
      </c>
      <c r="AJ505" s="3066">
        <v>0</v>
      </c>
      <c r="AK505" s="3066">
        <v>0</v>
      </c>
      <c r="AL505" s="3066">
        <v>0</v>
      </c>
      <c r="AM505" s="3066">
        <v>0</v>
      </c>
      <c r="AN505" s="3066" t="s">
        <v>3560</v>
      </c>
      <c r="AP505" s="3068">
        <f t="shared" si="7"/>
        <v>0</v>
      </c>
    </row>
    <row r="506" spans="2:42" ht="27" customHeight="1">
      <c r="B506" s="3066">
        <v>514</v>
      </c>
      <c r="C506" s="3066" t="s">
        <v>5208</v>
      </c>
      <c r="D506" s="3066" t="s">
        <v>4019</v>
      </c>
      <c r="E506" s="3066" t="s">
        <v>5214</v>
      </c>
      <c r="F506" s="3066" t="s">
        <v>3917</v>
      </c>
      <c r="G506" s="3066" t="s">
        <v>1373</v>
      </c>
      <c r="H506" s="3066" t="s">
        <v>3560</v>
      </c>
      <c r="I506" s="3066" t="s">
        <v>3853</v>
      </c>
      <c r="J506" s="3066" t="s">
        <v>3854</v>
      </c>
      <c r="K506" s="3066" t="s">
        <v>3560</v>
      </c>
      <c r="L506" s="3066" t="s">
        <v>3855</v>
      </c>
      <c r="M506" s="3066" t="s">
        <v>5215</v>
      </c>
      <c r="N506" s="3066">
        <v>37.799999999999997</v>
      </c>
      <c r="O506" s="3066" t="s">
        <v>3619</v>
      </c>
      <c r="P506" s="3066" t="s">
        <v>3566</v>
      </c>
      <c r="Q506" s="3066">
        <v>1</v>
      </c>
      <c r="R506" s="3066">
        <v>0</v>
      </c>
      <c r="S506" s="3066" t="s">
        <v>3577</v>
      </c>
      <c r="T506" s="3066">
        <v>20</v>
      </c>
      <c r="U506" s="3066">
        <v>756</v>
      </c>
      <c r="V506" s="3066" t="s">
        <v>3560</v>
      </c>
      <c r="W506" s="3066" t="s">
        <v>3568</v>
      </c>
      <c r="X506" s="3066">
        <v>2</v>
      </c>
      <c r="Y506" s="3066">
        <v>907.2</v>
      </c>
      <c r="Z506" s="3066" t="s">
        <v>3568</v>
      </c>
      <c r="AA506" s="3066" t="s">
        <v>3560</v>
      </c>
      <c r="AB506" s="3066" t="s">
        <v>3584</v>
      </c>
      <c r="AC506" s="3066" t="s">
        <v>3584</v>
      </c>
      <c r="AD506" s="3066" t="s">
        <v>3584</v>
      </c>
      <c r="AE506" s="3066" t="s">
        <v>3560</v>
      </c>
      <c r="AF506" s="3067">
        <v>756</v>
      </c>
      <c r="AG506" s="3066">
        <v>756</v>
      </c>
      <c r="AH506" s="3066">
        <v>75.599999999999994</v>
      </c>
      <c r="AI506" s="3066">
        <v>75.599999999999994</v>
      </c>
      <c r="AJ506" s="3066">
        <v>125.7</v>
      </c>
      <c r="AK506" s="3066">
        <v>125.7</v>
      </c>
      <c r="AL506" s="3066">
        <v>957.3</v>
      </c>
      <c r="AM506" s="3066">
        <v>957.3</v>
      </c>
      <c r="AN506" s="3066" t="s">
        <v>3560</v>
      </c>
      <c r="AP506" s="3068">
        <f t="shared" si="7"/>
        <v>20</v>
      </c>
    </row>
    <row r="507" spans="2:42" ht="27" customHeight="1">
      <c r="B507" s="3066">
        <v>515</v>
      </c>
      <c r="C507" s="3066" t="s">
        <v>5208</v>
      </c>
      <c r="D507" s="3066" t="s">
        <v>4019</v>
      </c>
      <c r="E507" s="3066" t="s">
        <v>5216</v>
      </c>
      <c r="F507" s="3066" t="s">
        <v>3917</v>
      </c>
      <c r="G507" s="3066" t="s">
        <v>1373</v>
      </c>
      <c r="H507" s="3066" t="s">
        <v>3560</v>
      </c>
      <c r="I507" s="3066" t="s">
        <v>3853</v>
      </c>
      <c r="J507" s="3066" t="s">
        <v>3854</v>
      </c>
      <c r="K507" s="3066" t="s">
        <v>3560</v>
      </c>
      <c r="L507" s="3066" t="s">
        <v>3855</v>
      </c>
      <c r="M507" s="3066" t="s">
        <v>5217</v>
      </c>
      <c r="N507" s="3066">
        <v>37.799999999999997</v>
      </c>
      <c r="O507" s="3066" t="s">
        <v>3619</v>
      </c>
      <c r="P507" s="3066" t="s">
        <v>3566</v>
      </c>
      <c r="Q507" s="3066">
        <v>1</v>
      </c>
      <c r="R507" s="3066">
        <v>0</v>
      </c>
      <c r="S507" s="3066" t="s">
        <v>3577</v>
      </c>
      <c r="T507" s="3066">
        <v>20</v>
      </c>
      <c r="U507" s="3066">
        <v>756</v>
      </c>
      <c r="V507" s="3066" t="s">
        <v>3560</v>
      </c>
      <c r="W507" s="3066" t="s">
        <v>3568</v>
      </c>
      <c r="X507" s="3066">
        <v>2</v>
      </c>
      <c r="Y507" s="3066">
        <v>907.2</v>
      </c>
      <c r="Z507" s="3066" t="s">
        <v>3568</v>
      </c>
      <c r="AA507" s="3066" t="s">
        <v>3560</v>
      </c>
      <c r="AB507" s="3066" t="s">
        <v>3584</v>
      </c>
      <c r="AC507" s="3066" t="s">
        <v>3584</v>
      </c>
      <c r="AD507" s="3066" t="s">
        <v>3584</v>
      </c>
      <c r="AE507" s="3066" t="s">
        <v>3560</v>
      </c>
      <c r="AF507" s="3067">
        <v>756</v>
      </c>
      <c r="AG507" s="3066">
        <v>756</v>
      </c>
      <c r="AH507" s="3066">
        <v>75.599999999999994</v>
      </c>
      <c r="AI507" s="3066">
        <v>75.599999999999994</v>
      </c>
      <c r="AJ507" s="3066">
        <v>44.62</v>
      </c>
      <c r="AK507" s="3066">
        <v>44.62</v>
      </c>
      <c r="AL507" s="3066">
        <v>876.22</v>
      </c>
      <c r="AM507" s="3066">
        <v>876.22</v>
      </c>
      <c r="AN507" s="3066" t="s">
        <v>3560</v>
      </c>
      <c r="AP507" s="3068">
        <f t="shared" si="7"/>
        <v>20</v>
      </c>
    </row>
    <row r="508" spans="2:42" ht="27" customHeight="1">
      <c r="B508" s="3066">
        <v>516</v>
      </c>
      <c r="C508" s="3066" t="s">
        <v>5208</v>
      </c>
      <c r="D508" s="3066" t="s">
        <v>4019</v>
      </c>
      <c r="E508" s="3066" t="s">
        <v>5218</v>
      </c>
      <c r="F508" s="3066" t="s">
        <v>3917</v>
      </c>
      <c r="G508" s="3066" t="s">
        <v>1373</v>
      </c>
      <c r="H508" s="3066" t="s">
        <v>3560</v>
      </c>
      <c r="I508" s="3066" t="s">
        <v>4513</v>
      </c>
      <c r="J508" s="3066" t="s">
        <v>3560</v>
      </c>
      <c r="K508" s="3066" t="s">
        <v>3560</v>
      </c>
      <c r="L508" s="3066" t="s">
        <v>4514</v>
      </c>
      <c r="M508" s="3066" t="s">
        <v>5219</v>
      </c>
      <c r="N508" s="3066">
        <v>37.799999999999997</v>
      </c>
      <c r="O508" s="3066" t="s">
        <v>5211</v>
      </c>
      <c r="P508" s="3066" t="s">
        <v>3566</v>
      </c>
      <c r="Q508" s="3066">
        <v>1</v>
      </c>
      <c r="R508" s="3066">
        <v>0</v>
      </c>
      <c r="S508" s="3066" t="s">
        <v>3577</v>
      </c>
      <c r="T508" s="3066">
        <v>21</v>
      </c>
      <c r="U508" s="3066">
        <v>793.8</v>
      </c>
      <c r="V508" s="3066" t="s">
        <v>3560</v>
      </c>
      <c r="W508" s="3066" t="s">
        <v>3568</v>
      </c>
      <c r="X508" s="3066">
        <v>2.2599999999999998</v>
      </c>
      <c r="Y508" s="3066">
        <v>1027.2</v>
      </c>
      <c r="Z508" s="3066" t="s">
        <v>3568</v>
      </c>
      <c r="AA508" s="3066" t="s">
        <v>3560</v>
      </c>
      <c r="AB508" s="3066" t="s">
        <v>3943</v>
      </c>
      <c r="AC508" s="3066" t="s">
        <v>3943</v>
      </c>
      <c r="AD508" s="3066" t="s">
        <v>3943</v>
      </c>
      <c r="AE508" s="3066" t="s">
        <v>3560</v>
      </c>
      <c r="AF508" s="3067">
        <v>0</v>
      </c>
      <c r="AG508" s="3066">
        <v>0</v>
      </c>
      <c r="AH508" s="3066">
        <v>0</v>
      </c>
      <c r="AI508" s="3066">
        <v>0</v>
      </c>
      <c r="AJ508" s="3066">
        <v>0</v>
      </c>
      <c r="AK508" s="3066">
        <v>0</v>
      </c>
      <c r="AL508" s="3066">
        <v>0</v>
      </c>
      <c r="AM508" s="3066">
        <v>0</v>
      </c>
      <c r="AN508" s="3066" t="s">
        <v>3560</v>
      </c>
      <c r="AP508" s="3068">
        <f t="shared" si="7"/>
        <v>0</v>
      </c>
    </row>
    <row r="509" spans="2:42" ht="27" customHeight="1">
      <c r="B509" s="3066">
        <v>517</v>
      </c>
      <c r="C509" s="3066" t="s">
        <v>5208</v>
      </c>
      <c r="D509" s="3066" t="s">
        <v>4019</v>
      </c>
      <c r="E509" s="3066" t="s">
        <v>5220</v>
      </c>
      <c r="F509" s="3066" t="s">
        <v>3917</v>
      </c>
      <c r="G509" s="3066" t="s">
        <v>1373</v>
      </c>
      <c r="H509" s="3066" t="s">
        <v>3560</v>
      </c>
      <c r="I509" s="3066" t="s">
        <v>4513</v>
      </c>
      <c r="J509" s="3066" t="s">
        <v>3560</v>
      </c>
      <c r="K509" s="3066" t="s">
        <v>3560</v>
      </c>
      <c r="L509" s="3066" t="s">
        <v>4514</v>
      </c>
      <c r="M509" s="3066" t="s">
        <v>5221</v>
      </c>
      <c r="N509" s="3066">
        <v>37.799999999999997</v>
      </c>
      <c r="O509" s="3066" t="s">
        <v>5211</v>
      </c>
      <c r="P509" s="3066" t="s">
        <v>3566</v>
      </c>
      <c r="Q509" s="3066">
        <v>1</v>
      </c>
      <c r="R509" s="3066">
        <v>0</v>
      </c>
      <c r="S509" s="3066" t="s">
        <v>3577</v>
      </c>
      <c r="T509" s="3066">
        <v>21</v>
      </c>
      <c r="U509" s="3066">
        <v>793.8</v>
      </c>
      <c r="V509" s="3066" t="s">
        <v>3560</v>
      </c>
      <c r="W509" s="3066" t="s">
        <v>3568</v>
      </c>
      <c r="X509" s="3066">
        <v>2.2599999999999998</v>
      </c>
      <c r="Y509" s="3066">
        <v>1027.2</v>
      </c>
      <c r="Z509" s="3066" t="s">
        <v>3568</v>
      </c>
      <c r="AA509" s="3066" t="s">
        <v>3560</v>
      </c>
      <c r="AB509" s="3066" t="s">
        <v>3943</v>
      </c>
      <c r="AC509" s="3066" t="s">
        <v>3943</v>
      </c>
      <c r="AD509" s="3066" t="s">
        <v>3943</v>
      </c>
      <c r="AE509" s="3066" t="s">
        <v>3560</v>
      </c>
      <c r="AF509" s="3067">
        <v>0</v>
      </c>
      <c r="AG509" s="3066">
        <v>0</v>
      </c>
      <c r="AH509" s="3066">
        <v>0</v>
      </c>
      <c r="AI509" s="3066">
        <v>0</v>
      </c>
      <c r="AJ509" s="3066">
        <v>0</v>
      </c>
      <c r="AK509" s="3066">
        <v>0</v>
      </c>
      <c r="AL509" s="3066">
        <v>0</v>
      </c>
      <c r="AM509" s="3066">
        <v>0</v>
      </c>
      <c r="AN509" s="3066" t="s">
        <v>3560</v>
      </c>
      <c r="AP509" s="3068">
        <f t="shared" si="7"/>
        <v>0</v>
      </c>
    </row>
    <row r="510" spans="2:42" ht="27" customHeight="1">
      <c r="B510" s="3066">
        <v>518</v>
      </c>
      <c r="C510" s="3066" t="s">
        <v>5208</v>
      </c>
      <c r="D510" s="3066" t="s">
        <v>4019</v>
      </c>
      <c r="E510" s="3066" t="s">
        <v>5222</v>
      </c>
      <c r="F510" s="3066" t="s">
        <v>3917</v>
      </c>
      <c r="G510" s="3066" t="s">
        <v>1373</v>
      </c>
      <c r="H510" s="3066" t="s">
        <v>3560</v>
      </c>
      <c r="I510" s="3066" t="s">
        <v>5223</v>
      </c>
      <c r="J510" s="3066" t="s">
        <v>3560</v>
      </c>
      <c r="K510" s="3066" t="s">
        <v>3560</v>
      </c>
      <c r="L510" s="3066" t="s">
        <v>5224</v>
      </c>
      <c r="M510" s="3066" t="s">
        <v>5225</v>
      </c>
      <c r="N510" s="3066">
        <v>37.799999999999997</v>
      </c>
      <c r="O510" s="3066" t="s">
        <v>4488</v>
      </c>
      <c r="P510" s="3066" t="s">
        <v>3566</v>
      </c>
      <c r="Q510" s="3066">
        <v>1</v>
      </c>
      <c r="R510" s="3066">
        <v>4208</v>
      </c>
      <c r="S510" s="3066" t="s">
        <v>3567</v>
      </c>
      <c r="T510" s="3066">
        <v>20</v>
      </c>
      <c r="U510" s="3066">
        <v>756</v>
      </c>
      <c r="V510" s="3066" t="s">
        <v>3560</v>
      </c>
      <c r="W510" s="3066" t="s">
        <v>3568</v>
      </c>
      <c r="X510" s="3066">
        <v>2.2599999999999998</v>
      </c>
      <c r="Y510" s="3066">
        <v>1027.2</v>
      </c>
      <c r="Z510" s="3066" t="s">
        <v>3568</v>
      </c>
      <c r="AA510" s="3066" t="s">
        <v>3560</v>
      </c>
      <c r="AB510" s="3066" t="s">
        <v>4489</v>
      </c>
      <c r="AC510" s="3066" t="s">
        <v>4489</v>
      </c>
      <c r="AD510" s="3066" t="s">
        <v>4489</v>
      </c>
      <c r="AE510" s="3066" t="s">
        <v>3560</v>
      </c>
      <c r="AF510" s="3067">
        <v>756</v>
      </c>
      <c r="AG510" s="3066">
        <v>756</v>
      </c>
      <c r="AH510" s="3066">
        <v>85.6</v>
      </c>
      <c r="AI510" s="3066">
        <v>85.6</v>
      </c>
      <c r="AJ510" s="3066">
        <v>67.650000000000006</v>
      </c>
      <c r="AK510" s="3066">
        <v>67.650000000000006</v>
      </c>
      <c r="AL510" s="3066">
        <v>909.25</v>
      </c>
      <c r="AM510" s="3066">
        <v>909.25</v>
      </c>
      <c r="AN510" s="3066" t="s">
        <v>3560</v>
      </c>
      <c r="AP510" s="3068">
        <f t="shared" si="7"/>
        <v>20</v>
      </c>
    </row>
    <row r="511" spans="2:42" ht="27" customHeight="1">
      <c r="B511" s="3066">
        <v>519</v>
      </c>
      <c r="C511" s="3066" t="s">
        <v>5208</v>
      </c>
      <c r="D511" s="3066" t="s">
        <v>4019</v>
      </c>
      <c r="E511" s="3066" t="s">
        <v>5226</v>
      </c>
      <c r="F511" s="3066" t="s">
        <v>3917</v>
      </c>
      <c r="G511" s="3066" t="s">
        <v>1373</v>
      </c>
      <c r="H511" s="3066" t="s">
        <v>3560</v>
      </c>
      <c r="I511" s="3066" t="s">
        <v>5227</v>
      </c>
      <c r="J511" s="3066" t="s">
        <v>3560</v>
      </c>
      <c r="K511" s="3066" t="s">
        <v>3560</v>
      </c>
      <c r="L511" s="3066" t="s">
        <v>5228</v>
      </c>
      <c r="M511" s="3066" t="s">
        <v>5229</v>
      </c>
      <c r="N511" s="3066">
        <v>37.799999999999997</v>
      </c>
      <c r="O511" s="3066" t="s">
        <v>5230</v>
      </c>
      <c r="P511" s="3066" t="s">
        <v>3566</v>
      </c>
      <c r="Q511" s="3066">
        <v>1</v>
      </c>
      <c r="R511" s="3066">
        <v>4397</v>
      </c>
      <c r="S511" s="3066" t="s">
        <v>3567</v>
      </c>
      <c r="T511" s="3066">
        <v>21</v>
      </c>
      <c r="U511" s="3066">
        <v>793.8</v>
      </c>
      <c r="V511" s="3066" t="s">
        <v>3560</v>
      </c>
      <c r="W511" s="3066" t="s">
        <v>3568</v>
      </c>
      <c r="X511" s="3066">
        <v>2.2599999999999998</v>
      </c>
      <c r="Y511" s="3066">
        <v>1027.2</v>
      </c>
      <c r="Z511" s="3066" t="s">
        <v>3568</v>
      </c>
      <c r="AA511" s="3066" t="s">
        <v>3560</v>
      </c>
      <c r="AB511" s="3066" t="s">
        <v>4868</v>
      </c>
      <c r="AC511" s="3066" t="s">
        <v>4868</v>
      </c>
      <c r="AD511" s="3066" t="s">
        <v>4868</v>
      </c>
      <c r="AE511" s="3066" t="s">
        <v>3560</v>
      </c>
      <c r="AF511" s="3067">
        <v>0</v>
      </c>
      <c r="AG511" s="3066">
        <v>0</v>
      </c>
      <c r="AH511" s="3066">
        <v>0</v>
      </c>
      <c r="AI511" s="3066">
        <v>0</v>
      </c>
      <c r="AJ511" s="3066">
        <v>56.94</v>
      </c>
      <c r="AK511" s="3066">
        <v>0</v>
      </c>
      <c r="AL511" s="3066">
        <v>56.94</v>
      </c>
      <c r="AM511" s="3066">
        <v>0</v>
      </c>
      <c r="AN511" s="3066" t="s">
        <v>3560</v>
      </c>
      <c r="AP511" s="3068">
        <f t="shared" si="7"/>
        <v>0</v>
      </c>
    </row>
    <row r="512" spans="2:42" ht="27" customHeight="1">
      <c r="B512" s="3066">
        <v>520</v>
      </c>
      <c r="C512" s="3066" t="s">
        <v>5208</v>
      </c>
      <c r="D512" s="3066" t="s">
        <v>4019</v>
      </c>
      <c r="E512" s="3066" t="s">
        <v>5231</v>
      </c>
      <c r="F512" s="3066" t="s">
        <v>3917</v>
      </c>
      <c r="G512" s="3066" t="s">
        <v>1373</v>
      </c>
      <c r="H512" s="3066" t="s">
        <v>3560</v>
      </c>
      <c r="I512" s="3066" t="s">
        <v>3853</v>
      </c>
      <c r="J512" s="3066" t="s">
        <v>3854</v>
      </c>
      <c r="K512" s="3066" t="s">
        <v>3560</v>
      </c>
      <c r="L512" s="3066" t="s">
        <v>3855</v>
      </c>
      <c r="M512" s="3066" t="s">
        <v>5232</v>
      </c>
      <c r="N512" s="3066">
        <v>37.799999999999997</v>
      </c>
      <c r="O512" s="3066" t="s">
        <v>3619</v>
      </c>
      <c r="P512" s="3066" t="s">
        <v>3566</v>
      </c>
      <c r="Q512" s="3066">
        <v>1</v>
      </c>
      <c r="R512" s="3066">
        <v>0</v>
      </c>
      <c r="S512" s="3066" t="s">
        <v>3577</v>
      </c>
      <c r="T512" s="3066">
        <v>20</v>
      </c>
      <c r="U512" s="3066">
        <v>756</v>
      </c>
      <c r="V512" s="3066" t="s">
        <v>3560</v>
      </c>
      <c r="W512" s="3066" t="s">
        <v>3568</v>
      </c>
      <c r="X512" s="3066">
        <v>2</v>
      </c>
      <c r="Y512" s="3066">
        <v>907.2</v>
      </c>
      <c r="Z512" s="3066" t="s">
        <v>3568</v>
      </c>
      <c r="AA512" s="3066" t="s">
        <v>3560</v>
      </c>
      <c r="AB512" s="3066" t="s">
        <v>3584</v>
      </c>
      <c r="AC512" s="3066" t="s">
        <v>3584</v>
      </c>
      <c r="AD512" s="3066" t="s">
        <v>3584</v>
      </c>
      <c r="AE512" s="3066" t="s">
        <v>3560</v>
      </c>
      <c r="AF512" s="3067">
        <v>756</v>
      </c>
      <c r="AG512" s="3066">
        <v>756</v>
      </c>
      <c r="AH512" s="3066">
        <v>75.599999999999994</v>
      </c>
      <c r="AI512" s="3066">
        <v>75.599999999999994</v>
      </c>
      <c r="AJ512" s="3066">
        <v>44.62</v>
      </c>
      <c r="AK512" s="3066">
        <v>44.62</v>
      </c>
      <c r="AL512" s="3066">
        <v>876.22</v>
      </c>
      <c r="AM512" s="3066">
        <v>876.22</v>
      </c>
      <c r="AN512" s="3066" t="s">
        <v>3560</v>
      </c>
      <c r="AP512" s="3068">
        <f t="shared" si="7"/>
        <v>20</v>
      </c>
    </row>
    <row r="513" spans="2:42" ht="27" customHeight="1">
      <c r="B513" s="3066">
        <v>521</v>
      </c>
      <c r="C513" s="3066" t="s">
        <v>5208</v>
      </c>
      <c r="D513" s="3066" t="s">
        <v>4019</v>
      </c>
      <c r="E513" s="3066" t="s">
        <v>5233</v>
      </c>
      <c r="F513" s="3066" t="s">
        <v>3917</v>
      </c>
      <c r="G513" s="3066" t="s">
        <v>1373</v>
      </c>
      <c r="H513" s="3066" t="s">
        <v>3560</v>
      </c>
      <c r="I513" s="3066" t="s">
        <v>4513</v>
      </c>
      <c r="J513" s="3066" t="s">
        <v>3560</v>
      </c>
      <c r="K513" s="3066" t="s">
        <v>3560</v>
      </c>
      <c r="L513" s="3066" t="s">
        <v>4514</v>
      </c>
      <c r="M513" s="3066" t="s">
        <v>5234</v>
      </c>
      <c r="N513" s="3066">
        <v>37.799999999999997</v>
      </c>
      <c r="O513" s="3066" t="s">
        <v>5211</v>
      </c>
      <c r="P513" s="3066" t="s">
        <v>3566</v>
      </c>
      <c r="Q513" s="3066">
        <v>1</v>
      </c>
      <c r="R513" s="3066">
        <v>0</v>
      </c>
      <c r="S513" s="3066" t="s">
        <v>3577</v>
      </c>
      <c r="T513" s="3066">
        <v>21</v>
      </c>
      <c r="U513" s="3066">
        <v>793.8</v>
      </c>
      <c r="V513" s="3066" t="s">
        <v>3560</v>
      </c>
      <c r="W513" s="3066" t="s">
        <v>3568</v>
      </c>
      <c r="X513" s="3066">
        <v>2.2599999999999998</v>
      </c>
      <c r="Y513" s="3066">
        <v>1027.2</v>
      </c>
      <c r="Z513" s="3066" t="s">
        <v>3568</v>
      </c>
      <c r="AA513" s="3066" t="s">
        <v>3560</v>
      </c>
      <c r="AB513" s="3066" t="s">
        <v>3943</v>
      </c>
      <c r="AC513" s="3066" t="s">
        <v>3943</v>
      </c>
      <c r="AD513" s="3066" t="s">
        <v>3943</v>
      </c>
      <c r="AE513" s="3066" t="s">
        <v>3560</v>
      </c>
      <c r="AF513" s="3067">
        <v>0</v>
      </c>
      <c r="AG513" s="3066">
        <v>0</v>
      </c>
      <c r="AH513" s="3066">
        <v>0</v>
      </c>
      <c r="AI513" s="3066">
        <v>0</v>
      </c>
      <c r="AJ513" s="3066">
        <v>0</v>
      </c>
      <c r="AK513" s="3066">
        <v>0</v>
      </c>
      <c r="AL513" s="3066">
        <v>0</v>
      </c>
      <c r="AM513" s="3066">
        <v>0</v>
      </c>
      <c r="AN513" s="3066" t="s">
        <v>3560</v>
      </c>
      <c r="AP513" s="3068">
        <f t="shared" si="7"/>
        <v>0</v>
      </c>
    </row>
    <row r="514" spans="2:42" ht="27" customHeight="1">
      <c r="B514" s="3066">
        <v>522</v>
      </c>
      <c r="C514" s="3066" t="s">
        <v>5208</v>
      </c>
      <c r="D514" s="3066" t="s">
        <v>4053</v>
      </c>
      <c r="E514" s="3066" t="s">
        <v>5235</v>
      </c>
      <c r="F514" s="3066" t="s">
        <v>3917</v>
      </c>
      <c r="G514" s="3066" t="s">
        <v>1373</v>
      </c>
      <c r="H514" s="3066" t="s">
        <v>3560</v>
      </c>
      <c r="I514" s="3066" t="s">
        <v>3759</v>
      </c>
      <c r="J514" s="3066" t="s">
        <v>3760</v>
      </c>
      <c r="K514" s="3066" t="s">
        <v>3560</v>
      </c>
      <c r="L514" s="3066" t="s">
        <v>3761</v>
      </c>
      <c r="M514" s="3066" t="s">
        <v>5236</v>
      </c>
      <c r="N514" s="3066">
        <v>378</v>
      </c>
      <c r="O514" s="3066" t="s">
        <v>4516</v>
      </c>
      <c r="P514" s="3066" t="s">
        <v>3566</v>
      </c>
      <c r="Q514" s="3066">
        <v>0</v>
      </c>
      <c r="R514" s="3066">
        <v>5239.8</v>
      </c>
      <c r="S514" s="3066" t="s">
        <v>3567</v>
      </c>
      <c r="T514" s="3066">
        <v>20</v>
      </c>
      <c r="U514" s="3066">
        <v>7560</v>
      </c>
      <c r="V514" s="3066" t="s">
        <v>3560</v>
      </c>
      <c r="W514" s="3066" t="s">
        <v>3568</v>
      </c>
      <c r="X514" s="3066">
        <v>2</v>
      </c>
      <c r="Y514" s="3066">
        <v>9072</v>
      </c>
      <c r="Z514" s="3066" t="s">
        <v>3568</v>
      </c>
      <c r="AA514" s="3066" t="s">
        <v>3560</v>
      </c>
      <c r="AB514" s="3066" t="s">
        <v>3584</v>
      </c>
      <c r="AC514" s="3066" t="s">
        <v>3584</v>
      </c>
      <c r="AD514" s="3066" t="s">
        <v>3584</v>
      </c>
      <c r="AE514" s="3066" t="s">
        <v>3560</v>
      </c>
      <c r="AF514" s="3067">
        <v>7560</v>
      </c>
      <c r="AG514" s="3066">
        <v>0</v>
      </c>
      <c r="AH514" s="3066">
        <v>756</v>
      </c>
      <c r="AI514" s="3066">
        <v>0</v>
      </c>
      <c r="AJ514" s="3066">
        <v>874.62</v>
      </c>
      <c r="AK514" s="3066">
        <v>0</v>
      </c>
      <c r="AL514" s="3066">
        <v>9190.6200000000008</v>
      </c>
      <c r="AM514" s="3066">
        <v>0</v>
      </c>
      <c r="AN514" s="3066" t="s">
        <v>3560</v>
      </c>
      <c r="AP514" s="3068">
        <f t="shared" si="7"/>
        <v>20</v>
      </c>
    </row>
    <row r="515" spans="2:42" ht="27" customHeight="1">
      <c r="B515" s="3066">
        <v>523</v>
      </c>
      <c r="C515" s="3066" t="s">
        <v>5208</v>
      </c>
      <c r="D515" s="3066" t="s">
        <v>3915</v>
      </c>
      <c r="E515" s="3066" t="s">
        <v>5237</v>
      </c>
      <c r="F515" s="3066" t="s">
        <v>3917</v>
      </c>
      <c r="G515" s="3066" t="s">
        <v>1373</v>
      </c>
      <c r="H515" s="3066" t="s">
        <v>3560</v>
      </c>
      <c r="I515" s="3066" t="s">
        <v>5238</v>
      </c>
      <c r="J515" s="3066" t="s">
        <v>3560</v>
      </c>
      <c r="K515" s="3066" t="s">
        <v>3560</v>
      </c>
      <c r="L515" s="3066" t="s">
        <v>5239</v>
      </c>
      <c r="M515" s="3066" t="s">
        <v>5240</v>
      </c>
      <c r="N515" s="3066">
        <v>37.799999999999997</v>
      </c>
      <c r="O515" s="3066" t="s">
        <v>3619</v>
      </c>
      <c r="P515" s="3066" t="s">
        <v>3566</v>
      </c>
      <c r="Q515" s="3066">
        <v>1</v>
      </c>
      <c r="R515" s="3066">
        <v>4208</v>
      </c>
      <c r="S515" s="3066" t="s">
        <v>3567</v>
      </c>
      <c r="T515" s="3066">
        <v>20</v>
      </c>
      <c r="U515" s="3066">
        <v>756</v>
      </c>
      <c r="V515" s="3066" t="s">
        <v>3560</v>
      </c>
      <c r="W515" s="3066" t="s">
        <v>3568</v>
      </c>
      <c r="X515" s="3066">
        <v>2.2599999999999998</v>
      </c>
      <c r="Y515" s="3066">
        <v>1027.2</v>
      </c>
      <c r="Z515" s="3066" t="s">
        <v>3568</v>
      </c>
      <c r="AA515" s="3066" t="s">
        <v>3560</v>
      </c>
      <c r="AB515" s="3066" t="s">
        <v>3584</v>
      </c>
      <c r="AC515" s="3066" t="s">
        <v>3584</v>
      </c>
      <c r="AD515" s="3066" t="s">
        <v>3584</v>
      </c>
      <c r="AE515" s="3066" t="s">
        <v>3560</v>
      </c>
      <c r="AF515" s="3067">
        <v>756</v>
      </c>
      <c r="AG515" s="3066">
        <v>0</v>
      </c>
      <c r="AH515" s="3066">
        <v>85.6</v>
      </c>
      <c r="AI515" s="3066">
        <v>0</v>
      </c>
      <c r="AJ515" s="3066">
        <v>71.22</v>
      </c>
      <c r="AK515" s="3066">
        <v>0</v>
      </c>
      <c r="AL515" s="3066">
        <v>912.82</v>
      </c>
      <c r="AM515" s="3066">
        <v>0</v>
      </c>
      <c r="AN515" s="3066" t="s">
        <v>3560</v>
      </c>
      <c r="AP515" s="3068">
        <f t="shared" si="7"/>
        <v>20</v>
      </c>
    </row>
    <row r="516" spans="2:42" ht="27" customHeight="1">
      <c r="B516" s="3066">
        <v>524</v>
      </c>
      <c r="C516" s="3066" t="s">
        <v>5208</v>
      </c>
      <c r="D516" s="3066" t="s">
        <v>3915</v>
      </c>
      <c r="E516" s="3066" t="s">
        <v>5241</v>
      </c>
      <c r="F516" s="3066" t="s">
        <v>3917</v>
      </c>
      <c r="G516" s="3066" t="s">
        <v>1373</v>
      </c>
      <c r="H516" s="3066" t="s">
        <v>3560</v>
      </c>
      <c r="I516" s="3066" t="s">
        <v>5242</v>
      </c>
      <c r="J516" s="3066" t="s">
        <v>3560</v>
      </c>
      <c r="K516" s="3066" t="s">
        <v>3560</v>
      </c>
      <c r="L516" s="3066" t="s">
        <v>5239</v>
      </c>
      <c r="M516" s="3066" t="s">
        <v>5243</v>
      </c>
      <c r="N516" s="3066">
        <v>37.799999999999997</v>
      </c>
      <c r="O516" s="3066" t="s">
        <v>3619</v>
      </c>
      <c r="P516" s="3066" t="s">
        <v>3566</v>
      </c>
      <c r="Q516" s="3066">
        <v>1</v>
      </c>
      <c r="R516" s="3066">
        <v>4208</v>
      </c>
      <c r="S516" s="3066" t="s">
        <v>3567</v>
      </c>
      <c r="T516" s="3066">
        <v>20</v>
      </c>
      <c r="U516" s="3066">
        <v>756</v>
      </c>
      <c r="V516" s="3066" t="s">
        <v>3560</v>
      </c>
      <c r="W516" s="3066" t="s">
        <v>3568</v>
      </c>
      <c r="X516" s="3066">
        <v>2.2599999999999998</v>
      </c>
      <c r="Y516" s="3066">
        <v>1027.2</v>
      </c>
      <c r="Z516" s="3066" t="s">
        <v>3568</v>
      </c>
      <c r="AA516" s="3066" t="s">
        <v>3560</v>
      </c>
      <c r="AB516" s="3066" t="s">
        <v>3584</v>
      </c>
      <c r="AC516" s="3066" t="s">
        <v>3584</v>
      </c>
      <c r="AD516" s="3066" t="s">
        <v>3584</v>
      </c>
      <c r="AE516" s="3066" t="s">
        <v>3560</v>
      </c>
      <c r="AF516" s="3067">
        <v>756</v>
      </c>
      <c r="AG516" s="3066">
        <v>756</v>
      </c>
      <c r="AH516" s="3066">
        <v>85.6</v>
      </c>
      <c r="AI516" s="3066">
        <v>85.6</v>
      </c>
      <c r="AJ516" s="3066">
        <v>99.69</v>
      </c>
      <c r="AK516" s="3066">
        <v>99.69</v>
      </c>
      <c r="AL516" s="3066">
        <v>941.29</v>
      </c>
      <c r="AM516" s="3066">
        <v>941.29</v>
      </c>
      <c r="AN516" s="3066" t="s">
        <v>3560</v>
      </c>
      <c r="AP516" s="3068">
        <f t="shared" ref="AP516:AP579" si="8">AF516/N516</f>
        <v>20</v>
      </c>
    </row>
    <row r="517" spans="2:42" ht="27" customHeight="1">
      <c r="B517" s="3066">
        <v>525</v>
      </c>
      <c r="C517" s="3066" t="s">
        <v>5208</v>
      </c>
      <c r="D517" s="3066" t="s">
        <v>3915</v>
      </c>
      <c r="E517" s="3066" t="s">
        <v>5244</v>
      </c>
      <c r="F517" s="3066" t="s">
        <v>3917</v>
      </c>
      <c r="G517" s="3066" t="s">
        <v>1373</v>
      </c>
      <c r="H517" s="3066" t="s">
        <v>3560</v>
      </c>
      <c r="I517" s="3066" t="s">
        <v>4562</v>
      </c>
      <c r="J517" s="3066" t="s">
        <v>3560</v>
      </c>
      <c r="K517" s="3066" t="s">
        <v>3560</v>
      </c>
      <c r="L517" s="3066" t="s">
        <v>3905</v>
      </c>
      <c r="M517" s="3066" t="s">
        <v>5245</v>
      </c>
      <c r="N517" s="3066">
        <v>37.799999999999997</v>
      </c>
      <c r="O517" s="3066" t="s">
        <v>4428</v>
      </c>
      <c r="P517" s="3066" t="s">
        <v>3566</v>
      </c>
      <c r="Q517" s="3066">
        <v>1</v>
      </c>
      <c r="R517" s="3066">
        <v>5050</v>
      </c>
      <c r="S517" s="3066" t="s">
        <v>3567</v>
      </c>
      <c r="T517" s="3066">
        <v>20</v>
      </c>
      <c r="U517" s="3066">
        <v>756</v>
      </c>
      <c r="V517" s="3066" t="s">
        <v>3560</v>
      </c>
      <c r="W517" s="3066" t="s">
        <v>3568</v>
      </c>
      <c r="X517" s="3066">
        <v>2.2599999999999998</v>
      </c>
      <c r="Y517" s="3066">
        <v>1027.2</v>
      </c>
      <c r="Z517" s="3066" t="s">
        <v>3568</v>
      </c>
      <c r="AA517" s="3066" t="s">
        <v>3560</v>
      </c>
      <c r="AB517" s="3066" t="s">
        <v>4429</v>
      </c>
      <c r="AC517" s="3066" t="s">
        <v>4429</v>
      </c>
      <c r="AD517" s="3066" t="s">
        <v>4429</v>
      </c>
      <c r="AE517" s="3066" t="s">
        <v>3560</v>
      </c>
      <c r="AF517" s="3067">
        <v>756</v>
      </c>
      <c r="AG517" s="3066">
        <v>756</v>
      </c>
      <c r="AH517" s="3066">
        <v>85.6</v>
      </c>
      <c r="AI517" s="3066">
        <v>85.6</v>
      </c>
      <c r="AJ517" s="3066">
        <v>53.37</v>
      </c>
      <c r="AK517" s="3066">
        <v>53.37</v>
      </c>
      <c r="AL517" s="3066">
        <v>894.97</v>
      </c>
      <c r="AM517" s="3066">
        <v>894.97</v>
      </c>
      <c r="AN517" s="3066" t="s">
        <v>3560</v>
      </c>
      <c r="AP517" s="3068">
        <f t="shared" si="8"/>
        <v>20</v>
      </c>
    </row>
    <row r="518" spans="2:42" ht="27" customHeight="1">
      <c r="B518" s="3066">
        <v>526</v>
      </c>
      <c r="C518" s="3066" t="s">
        <v>5208</v>
      </c>
      <c r="D518" s="3066" t="s">
        <v>3915</v>
      </c>
      <c r="E518" s="3066" t="s">
        <v>5246</v>
      </c>
      <c r="F518" s="3066" t="s">
        <v>3917</v>
      </c>
      <c r="G518" s="3066" t="s">
        <v>1373</v>
      </c>
      <c r="H518" s="3066" t="s">
        <v>3560</v>
      </c>
      <c r="I518" s="3066" t="s">
        <v>4562</v>
      </c>
      <c r="J518" s="3066" t="s">
        <v>3560</v>
      </c>
      <c r="K518" s="3066" t="s">
        <v>3560</v>
      </c>
      <c r="L518" s="3066" t="s">
        <v>3905</v>
      </c>
      <c r="M518" s="3066" t="s">
        <v>5247</v>
      </c>
      <c r="N518" s="3066">
        <v>37.799999999999997</v>
      </c>
      <c r="O518" s="3066" t="s">
        <v>4428</v>
      </c>
      <c r="P518" s="3066" t="s">
        <v>3566</v>
      </c>
      <c r="Q518" s="3066">
        <v>1</v>
      </c>
      <c r="R518" s="3066">
        <v>0</v>
      </c>
      <c r="S518" s="3066" t="s">
        <v>3577</v>
      </c>
      <c r="T518" s="3066">
        <v>20</v>
      </c>
      <c r="U518" s="3066">
        <v>756</v>
      </c>
      <c r="V518" s="3066" t="s">
        <v>3560</v>
      </c>
      <c r="W518" s="3066" t="s">
        <v>3568</v>
      </c>
      <c r="X518" s="3066">
        <v>2.2599999999999998</v>
      </c>
      <c r="Y518" s="3066">
        <v>1027.2</v>
      </c>
      <c r="Z518" s="3066" t="s">
        <v>3568</v>
      </c>
      <c r="AA518" s="3066" t="s">
        <v>3560</v>
      </c>
      <c r="AB518" s="3066" t="s">
        <v>4429</v>
      </c>
      <c r="AC518" s="3066" t="s">
        <v>4429</v>
      </c>
      <c r="AD518" s="3066" t="s">
        <v>4429</v>
      </c>
      <c r="AE518" s="3066" t="s">
        <v>3560</v>
      </c>
      <c r="AF518" s="3067">
        <v>756</v>
      </c>
      <c r="AG518" s="3066">
        <v>756</v>
      </c>
      <c r="AH518" s="3066">
        <v>85.6</v>
      </c>
      <c r="AI518" s="3066">
        <v>85.6</v>
      </c>
      <c r="AJ518" s="3066">
        <v>77</v>
      </c>
      <c r="AK518" s="3066">
        <v>77</v>
      </c>
      <c r="AL518" s="3066">
        <v>918.6</v>
      </c>
      <c r="AM518" s="3066">
        <v>918.6</v>
      </c>
      <c r="AN518" s="3066" t="s">
        <v>3560</v>
      </c>
      <c r="AP518" s="3068">
        <f t="shared" si="8"/>
        <v>20</v>
      </c>
    </row>
    <row r="519" spans="2:42" ht="27" customHeight="1">
      <c r="B519" s="3066">
        <v>527</v>
      </c>
      <c r="C519" s="3066" t="s">
        <v>5208</v>
      </c>
      <c r="D519" s="3066" t="s">
        <v>3915</v>
      </c>
      <c r="E519" s="3066" t="s">
        <v>5248</v>
      </c>
      <c r="F519" s="3066" t="s">
        <v>3917</v>
      </c>
      <c r="G519" s="3066" t="s">
        <v>1373</v>
      </c>
      <c r="H519" s="3066" t="s">
        <v>3560</v>
      </c>
      <c r="I519" s="3066" t="s">
        <v>5249</v>
      </c>
      <c r="J519" s="3066" t="s">
        <v>3560</v>
      </c>
      <c r="K519" s="3066" t="s">
        <v>3560</v>
      </c>
      <c r="L519" s="3066" t="s">
        <v>5250</v>
      </c>
      <c r="M519" s="3066" t="s">
        <v>5251</v>
      </c>
      <c r="N519" s="3066">
        <v>37.799999999999997</v>
      </c>
      <c r="O519" s="3066" t="s">
        <v>3619</v>
      </c>
      <c r="P519" s="3066" t="s">
        <v>3566</v>
      </c>
      <c r="Q519" s="3066">
        <v>1</v>
      </c>
      <c r="R519" s="3066">
        <v>0</v>
      </c>
      <c r="S519" s="3066" t="s">
        <v>3577</v>
      </c>
      <c r="T519" s="3066">
        <v>21</v>
      </c>
      <c r="U519" s="3066">
        <v>793.8</v>
      </c>
      <c r="V519" s="3066" t="s">
        <v>3560</v>
      </c>
      <c r="W519" s="3066" t="s">
        <v>3568</v>
      </c>
      <c r="X519" s="3066">
        <v>2.2599999999999998</v>
      </c>
      <c r="Y519" s="3066">
        <v>1027.2</v>
      </c>
      <c r="Z519" s="3066" t="s">
        <v>3568</v>
      </c>
      <c r="AA519" s="3066" t="s">
        <v>3560</v>
      </c>
      <c r="AB519" s="3066" t="s">
        <v>3584</v>
      </c>
      <c r="AC519" s="3066" t="s">
        <v>3584</v>
      </c>
      <c r="AD519" s="3066" t="s">
        <v>3584</v>
      </c>
      <c r="AE519" s="3066" t="s">
        <v>3560</v>
      </c>
      <c r="AF519" s="3067">
        <v>793.8</v>
      </c>
      <c r="AG519" s="3066">
        <v>793.8</v>
      </c>
      <c r="AH519" s="3066">
        <v>85.6</v>
      </c>
      <c r="AI519" s="3066">
        <v>85.6</v>
      </c>
      <c r="AJ519" s="3066">
        <v>78.88</v>
      </c>
      <c r="AK519" s="3066">
        <v>78.88</v>
      </c>
      <c r="AL519" s="3066">
        <v>958.28</v>
      </c>
      <c r="AM519" s="3066">
        <v>958.28</v>
      </c>
      <c r="AN519" s="3066" t="s">
        <v>3560</v>
      </c>
      <c r="AP519" s="3068">
        <f t="shared" si="8"/>
        <v>21</v>
      </c>
    </row>
    <row r="520" spans="2:42" ht="27" customHeight="1">
      <c r="B520" s="3066">
        <v>528</v>
      </c>
      <c r="C520" s="3066" t="s">
        <v>5208</v>
      </c>
      <c r="D520" s="3066" t="s">
        <v>3915</v>
      </c>
      <c r="E520" s="3066" t="s">
        <v>5252</v>
      </c>
      <c r="F520" s="3066" t="s">
        <v>3917</v>
      </c>
      <c r="G520" s="3066" t="s">
        <v>1373</v>
      </c>
      <c r="H520" s="3066" t="s">
        <v>3560</v>
      </c>
      <c r="I520" s="3066" t="s">
        <v>3759</v>
      </c>
      <c r="J520" s="3066" t="s">
        <v>3760</v>
      </c>
      <c r="K520" s="3066" t="s">
        <v>3560</v>
      </c>
      <c r="L520" s="3066" t="s">
        <v>3761</v>
      </c>
      <c r="M520" s="3066" t="s">
        <v>5253</v>
      </c>
      <c r="N520" s="3066">
        <v>37.799999999999997</v>
      </c>
      <c r="O520" s="3066" t="s">
        <v>4516</v>
      </c>
      <c r="P520" s="3066" t="s">
        <v>3566</v>
      </c>
      <c r="Q520" s="3066">
        <v>0</v>
      </c>
      <c r="R520" s="3066">
        <v>0</v>
      </c>
      <c r="S520" s="3066" t="s">
        <v>3577</v>
      </c>
      <c r="T520" s="3066">
        <v>20</v>
      </c>
      <c r="U520" s="3066">
        <v>756</v>
      </c>
      <c r="V520" s="3066" t="s">
        <v>3560</v>
      </c>
      <c r="W520" s="3066" t="s">
        <v>3568</v>
      </c>
      <c r="X520" s="3066">
        <v>2</v>
      </c>
      <c r="Y520" s="3066">
        <v>907.2</v>
      </c>
      <c r="Z520" s="3066" t="s">
        <v>3568</v>
      </c>
      <c r="AA520" s="3066" t="s">
        <v>3560</v>
      </c>
      <c r="AB520" s="3066" t="s">
        <v>3584</v>
      </c>
      <c r="AC520" s="3066" t="s">
        <v>3584</v>
      </c>
      <c r="AD520" s="3066" t="s">
        <v>3584</v>
      </c>
      <c r="AE520" s="3066" t="s">
        <v>3560</v>
      </c>
      <c r="AF520" s="3067">
        <v>756</v>
      </c>
      <c r="AG520" s="3066">
        <v>0</v>
      </c>
      <c r="AH520" s="3066">
        <v>75.599999999999994</v>
      </c>
      <c r="AI520" s="3066">
        <v>0</v>
      </c>
      <c r="AJ520" s="3066">
        <v>0</v>
      </c>
      <c r="AK520" s="3066">
        <v>0</v>
      </c>
      <c r="AL520" s="3066">
        <v>831.6</v>
      </c>
      <c r="AM520" s="3066">
        <v>0</v>
      </c>
      <c r="AN520" s="3066" t="s">
        <v>3560</v>
      </c>
      <c r="AP520" s="3068">
        <f t="shared" si="8"/>
        <v>20</v>
      </c>
    </row>
    <row r="521" spans="2:42" ht="27" customHeight="1">
      <c r="B521" s="3066">
        <v>529</v>
      </c>
      <c r="C521" s="3066" t="s">
        <v>5208</v>
      </c>
      <c r="D521" s="3066" t="s">
        <v>3915</v>
      </c>
      <c r="E521" s="3066" t="s">
        <v>5254</v>
      </c>
      <c r="F521" s="3066" t="s">
        <v>3917</v>
      </c>
      <c r="G521" s="3066" t="s">
        <v>1373</v>
      </c>
      <c r="H521" s="3066" t="s">
        <v>3560</v>
      </c>
      <c r="I521" s="3066" t="s">
        <v>5255</v>
      </c>
      <c r="J521" s="3066" t="s">
        <v>5255</v>
      </c>
      <c r="K521" s="3066" t="s">
        <v>3560</v>
      </c>
      <c r="L521" s="3066" t="s">
        <v>5256</v>
      </c>
      <c r="M521" s="3066" t="s">
        <v>5257</v>
      </c>
      <c r="N521" s="3066">
        <v>37.799999999999997</v>
      </c>
      <c r="O521" s="3066" t="s">
        <v>3608</v>
      </c>
      <c r="P521" s="3066" t="s">
        <v>3566</v>
      </c>
      <c r="Q521" s="3066">
        <v>1</v>
      </c>
      <c r="R521" s="3066">
        <v>4208</v>
      </c>
      <c r="S521" s="3066" t="s">
        <v>3567</v>
      </c>
      <c r="T521" s="3066">
        <v>20</v>
      </c>
      <c r="U521" s="3066">
        <v>756</v>
      </c>
      <c r="V521" s="3066" t="s">
        <v>3560</v>
      </c>
      <c r="W521" s="3066" t="s">
        <v>3568</v>
      </c>
      <c r="X521" s="3066">
        <v>2.2599999999999998</v>
      </c>
      <c r="Y521" s="3066">
        <v>1027.2</v>
      </c>
      <c r="Z521" s="3066" t="s">
        <v>3568</v>
      </c>
      <c r="AA521" s="3066" t="s">
        <v>3560</v>
      </c>
      <c r="AB521" s="3066" t="s">
        <v>3609</v>
      </c>
      <c r="AC521" s="3066" t="s">
        <v>3609</v>
      </c>
      <c r="AD521" s="3066" t="s">
        <v>3609</v>
      </c>
      <c r="AE521" s="3066" t="s">
        <v>3560</v>
      </c>
      <c r="AF521" s="3067">
        <v>756</v>
      </c>
      <c r="AG521" s="3066">
        <v>756</v>
      </c>
      <c r="AH521" s="3066">
        <v>85.6</v>
      </c>
      <c r="AI521" s="3066">
        <v>85.6</v>
      </c>
      <c r="AJ521" s="3066">
        <v>68.67</v>
      </c>
      <c r="AK521" s="3066">
        <v>68.67</v>
      </c>
      <c r="AL521" s="3066">
        <v>910.27</v>
      </c>
      <c r="AM521" s="3066">
        <v>910.27</v>
      </c>
      <c r="AN521" s="3066" t="s">
        <v>3560</v>
      </c>
      <c r="AP521" s="3068">
        <f t="shared" si="8"/>
        <v>20</v>
      </c>
    </row>
    <row r="522" spans="2:42" ht="27" customHeight="1">
      <c r="B522" s="3066">
        <v>530</v>
      </c>
      <c r="C522" s="3066" t="s">
        <v>5208</v>
      </c>
      <c r="D522" s="3066" t="s">
        <v>3915</v>
      </c>
      <c r="E522" s="3066" t="s">
        <v>5258</v>
      </c>
      <c r="F522" s="3066" t="s">
        <v>3917</v>
      </c>
      <c r="G522" s="3066" t="s">
        <v>1373</v>
      </c>
      <c r="H522" s="3066" t="s">
        <v>3560</v>
      </c>
      <c r="I522" s="3066" t="s">
        <v>5259</v>
      </c>
      <c r="J522" s="3066" t="s">
        <v>5260</v>
      </c>
      <c r="K522" s="3066" t="s">
        <v>3560</v>
      </c>
      <c r="L522" s="3066" t="s">
        <v>5261</v>
      </c>
      <c r="M522" s="3066" t="s">
        <v>5262</v>
      </c>
      <c r="N522" s="3066">
        <v>37.799999999999997</v>
      </c>
      <c r="O522" s="3066" t="s">
        <v>4428</v>
      </c>
      <c r="P522" s="3066" t="s">
        <v>3566</v>
      </c>
      <c r="Q522" s="3066">
        <v>1</v>
      </c>
      <c r="R522" s="3066">
        <v>4208</v>
      </c>
      <c r="S522" s="3066" t="s">
        <v>3567</v>
      </c>
      <c r="T522" s="3066">
        <v>20</v>
      </c>
      <c r="U522" s="3066">
        <v>756</v>
      </c>
      <c r="V522" s="3066" t="s">
        <v>3560</v>
      </c>
      <c r="W522" s="3066" t="s">
        <v>3568</v>
      </c>
      <c r="X522" s="3066">
        <v>2.2599999999999998</v>
      </c>
      <c r="Y522" s="3066">
        <v>1027.2</v>
      </c>
      <c r="Z522" s="3066" t="s">
        <v>3568</v>
      </c>
      <c r="AA522" s="3066" t="s">
        <v>3560</v>
      </c>
      <c r="AB522" s="3066" t="s">
        <v>4429</v>
      </c>
      <c r="AC522" s="3066" t="s">
        <v>4429</v>
      </c>
      <c r="AD522" s="3066" t="s">
        <v>4429</v>
      </c>
      <c r="AE522" s="3066" t="s">
        <v>3560</v>
      </c>
      <c r="AF522" s="3067">
        <v>756</v>
      </c>
      <c r="AG522" s="3066">
        <v>756</v>
      </c>
      <c r="AH522" s="3066">
        <v>85.6</v>
      </c>
      <c r="AI522" s="3066">
        <v>85.6</v>
      </c>
      <c r="AJ522" s="3066">
        <v>131.47999999999999</v>
      </c>
      <c r="AK522" s="3066">
        <v>131.47999999999999</v>
      </c>
      <c r="AL522" s="3066">
        <v>973.08</v>
      </c>
      <c r="AM522" s="3066">
        <v>973.08</v>
      </c>
      <c r="AN522" s="3066" t="s">
        <v>3560</v>
      </c>
      <c r="AP522" s="3068">
        <f t="shared" si="8"/>
        <v>20</v>
      </c>
    </row>
    <row r="523" spans="2:42" ht="27" customHeight="1">
      <c r="B523" s="3066">
        <v>531</v>
      </c>
      <c r="C523" s="3066" t="s">
        <v>5208</v>
      </c>
      <c r="D523" s="3066" t="s">
        <v>3915</v>
      </c>
      <c r="E523" s="3066" t="s">
        <v>5263</v>
      </c>
      <c r="F523" s="3066" t="s">
        <v>3917</v>
      </c>
      <c r="G523" s="3066" t="s">
        <v>3560</v>
      </c>
      <c r="H523" s="3066" t="s">
        <v>3560</v>
      </c>
      <c r="I523" s="3066" t="s">
        <v>5264</v>
      </c>
      <c r="J523" s="3066" t="s">
        <v>5264</v>
      </c>
      <c r="K523" s="3066" t="s">
        <v>3560</v>
      </c>
      <c r="L523" s="3066" t="s">
        <v>5265</v>
      </c>
      <c r="M523" s="3066" t="s">
        <v>5266</v>
      </c>
      <c r="N523" s="3066">
        <v>37.799999999999997</v>
      </c>
      <c r="O523" s="3066" t="s">
        <v>3619</v>
      </c>
      <c r="P523" s="3066" t="s">
        <v>3566</v>
      </c>
      <c r="Q523" s="3066">
        <v>1</v>
      </c>
      <c r="R523" s="3066">
        <v>4208</v>
      </c>
      <c r="S523" s="3066" t="s">
        <v>3567</v>
      </c>
      <c r="T523" s="3066">
        <v>20</v>
      </c>
      <c r="U523" s="3066">
        <v>756</v>
      </c>
      <c r="V523" s="3066" t="s">
        <v>3560</v>
      </c>
      <c r="W523" s="3066" t="s">
        <v>3568</v>
      </c>
      <c r="X523" s="3066">
        <v>2.2599999999999998</v>
      </c>
      <c r="Y523" s="3066">
        <v>1027.2</v>
      </c>
      <c r="Z523" s="3066" t="s">
        <v>3568</v>
      </c>
      <c r="AA523" s="3066" t="s">
        <v>3560</v>
      </c>
      <c r="AB523" s="3066" t="s">
        <v>3584</v>
      </c>
      <c r="AC523" s="3066" t="s">
        <v>3584</v>
      </c>
      <c r="AD523" s="3066" t="s">
        <v>3584</v>
      </c>
      <c r="AE523" s="3066" t="s">
        <v>3560</v>
      </c>
      <c r="AF523" s="3067">
        <v>756</v>
      </c>
      <c r="AG523" s="3066">
        <v>0</v>
      </c>
      <c r="AH523" s="3066">
        <v>85.6</v>
      </c>
      <c r="AI523" s="3066">
        <v>0</v>
      </c>
      <c r="AJ523" s="3066">
        <v>76.83</v>
      </c>
      <c r="AK523" s="3066">
        <v>0</v>
      </c>
      <c r="AL523" s="3066">
        <v>918.43</v>
      </c>
      <c r="AM523" s="3066">
        <v>0</v>
      </c>
      <c r="AN523" s="3066" t="s">
        <v>3560</v>
      </c>
      <c r="AP523" s="3068">
        <f t="shared" si="8"/>
        <v>20</v>
      </c>
    </row>
    <row r="524" spans="2:42" ht="27" customHeight="1">
      <c r="B524" s="3066">
        <v>532</v>
      </c>
      <c r="C524" s="3066" t="s">
        <v>5208</v>
      </c>
      <c r="D524" s="3066" t="s">
        <v>3915</v>
      </c>
      <c r="E524" s="3066" t="s">
        <v>5267</v>
      </c>
      <c r="F524" s="3066" t="s">
        <v>3917</v>
      </c>
      <c r="G524" s="3066" t="s">
        <v>3560</v>
      </c>
      <c r="H524" s="3066" t="s">
        <v>3560</v>
      </c>
      <c r="I524" s="3066" t="s">
        <v>5268</v>
      </c>
      <c r="J524" s="3066" t="s">
        <v>5268</v>
      </c>
      <c r="K524" s="3066" t="s">
        <v>3560</v>
      </c>
      <c r="L524" s="3066" t="s">
        <v>5269</v>
      </c>
      <c r="M524" s="3066" t="s">
        <v>5270</v>
      </c>
      <c r="N524" s="3066">
        <v>37.799999999999997</v>
      </c>
      <c r="O524" s="3066" t="s">
        <v>3931</v>
      </c>
      <c r="P524" s="3066" t="s">
        <v>3566</v>
      </c>
      <c r="Q524" s="3066">
        <v>1</v>
      </c>
      <c r="R524" s="3066">
        <v>4208</v>
      </c>
      <c r="S524" s="3066" t="s">
        <v>3567</v>
      </c>
      <c r="T524" s="3066">
        <v>20</v>
      </c>
      <c r="U524" s="3066">
        <v>756</v>
      </c>
      <c r="V524" s="3066" t="s">
        <v>3560</v>
      </c>
      <c r="W524" s="3066" t="s">
        <v>3568</v>
      </c>
      <c r="X524" s="3066">
        <v>2.2599999999999998</v>
      </c>
      <c r="Y524" s="3066">
        <v>1027.2</v>
      </c>
      <c r="Z524" s="3066" t="s">
        <v>3568</v>
      </c>
      <c r="AA524" s="3066" t="s">
        <v>3560</v>
      </c>
      <c r="AB524" s="3066" t="s">
        <v>3932</v>
      </c>
      <c r="AC524" s="3066" t="s">
        <v>3932</v>
      </c>
      <c r="AD524" s="3066" t="s">
        <v>3932</v>
      </c>
      <c r="AE524" s="3066" t="s">
        <v>3560</v>
      </c>
      <c r="AF524" s="3067">
        <v>756</v>
      </c>
      <c r="AG524" s="3066">
        <v>756</v>
      </c>
      <c r="AH524" s="3066">
        <v>85.6</v>
      </c>
      <c r="AI524" s="3066">
        <v>85.6</v>
      </c>
      <c r="AJ524" s="3066">
        <v>94.76</v>
      </c>
      <c r="AK524" s="3066">
        <v>94.76</v>
      </c>
      <c r="AL524" s="3066">
        <v>936.36</v>
      </c>
      <c r="AM524" s="3066">
        <v>936.36</v>
      </c>
      <c r="AN524" s="3066" t="s">
        <v>3560</v>
      </c>
      <c r="AP524" s="3068">
        <f t="shared" si="8"/>
        <v>20</v>
      </c>
    </row>
    <row r="525" spans="2:42" ht="27" customHeight="1">
      <c r="B525" s="3066">
        <v>533</v>
      </c>
      <c r="C525" s="3066" t="s">
        <v>5208</v>
      </c>
      <c r="D525" s="3066" t="s">
        <v>4209</v>
      </c>
      <c r="E525" s="3066" t="s">
        <v>5271</v>
      </c>
      <c r="F525" s="3066" t="s">
        <v>3917</v>
      </c>
      <c r="G525" s="3066" t="s">
        <v>1373</v>
      </c>
      <c r="H525" s="3066" t="s">
        <v>3560</v>
      </c>
      <c r="I525" s="3066" t="s">
        <v>5249</v>
      </c>
      <c r="J525" s="3066" t="s">
        <v>3560</v>
      </c>
      <c r="K525" s="3066" t="s">
        <v>3560</v>
      </c>
      <c r="L525" s="3066" t="s">
        <v>5250</v>
      </c>
      <c r="M525" s="3066" t="s">
        <v>5272</v>
      </c>
      <c r="N525" s="3066">
        <v>37.799999999999997</v>
      </c>
      <c r="O525" s="3066" t="s">
        <v>5273</v>
      </c>
      <c r="P525" s="3066" t="s">
        <v>3566</v>
      </c>
      <c r="Q525" s="3066">
        <v>0</v>
      </c>
      <c r="R525" s="3066">
        <v>2525</v>
      </c>
      <c r="S525" s="3066" t="s">
        <v>3567</v>
      </c>
      <c r="T525" s="3066">
        <v>20</v>
      </c>
      <c r="U525" s="3066">
        <v>756</v>
      </c>
      <c r="V525" s="3066" t="s">
        <v>3560</v>
      </c>
      <c r="W525" s="3066" t="s">
        <v>3568</v>
      </c>
      <c r="X525" s="3066">
        <v>2.2599999999999998</v>
      </c>
      <c r="Y525" s="3066">
        <v>1027.2</v>
      </c>
      <c r="Z525" s="3066" t="s">
        <v>3568</v>
      </c>
      <c r="AA525" s="3066" t="s">
        <v>3560</v>
      </c>
      <c r="AB525" s="3066" t="s">
        <v>5274</v>
      </c>
      <c r="AC525" s="3066" t="s">
        <v>5274</v>
      </c>
      <c r="AD525" s="3066" t="s">
        <v>5274</v>
      </c>
      <c r="AE525" s="3066" t="s">
        <v>3560</v>
      </c>
      <c r="AF525" s="3067">
        <v>756</v>
      </c>
      <c r="AG525" s="3066">
        <v>756</v>
      </c>
      <c r="AH525" s="3066">
        <v>85.6</v>
      </c>
      <c r="AI525" s="3066">
        <v>85.6</v>
      </c>
      <c r="AJ525" s="3066">
        <v>69.61</v>
      </c>
      <c r="AK525" s="3066">
        <v>69.61</v>
      </c>
      <c r="AL525" s="3066">
        <v>911.21</v>
      </c>
      <c r="AM525" s="3066">
        <v>911.21</v>
      </c>
      <c r="AN525" s="3066" t="s">
        <v>3560</v>
      </c>
      <c r="AP525" s="3068">
        <f t="shared" si="8"/>
        <v>20</v>
      </c>
    </row>
    <row r="526" spans="2:42" ht="27" customHeight="1">
      <c r="B526" s="3066">
        <v>534</v>
      </c>
      <c r="C526" s="3066" t="s">
        <v>5208</v>
      </c>
      <c r="D526" s="3066" t="s">
        <v>4209</v>
      </c>
      <c r="E526" s="3066" t="s">
        <v>5275</v>
      </c>
      <c r="F526" s="3066" t="s">
        <v>3917</v>
      </c>
      <c r="G526" s="3066" t="s">
        <v>1373</v>
      </c>
      <c r="H526" s="3066" t="s">
        <v>3560</v>
      </c>
      <c r="I526" s="3066" t="s">
        <v>5276</v>
      </c>
      <c r="J526" s="3066" t="s">
        <v>3560</v>
      </c>
      <c r="K526" s="3066" t="s">
        <v>3560</v>
      </c>
      <c r="L526" s="3066" t="s">
        <v>5277</v>
      </c>
      <c r="M526" s="3066" t="s">
        <v>5278</v>
      </c>
      <c r="N526" s="3066">
        <v>37.799999999999997</v>
      </c>
      <c r="O526" s="3066" t="s">
        <v>3931</v>
      </c>
      <c r="P526" s="3066" t="s">
        <v>3566</v>
      </c>
      <c r="Q526" s="3066">
        <v>1</v>
      </c>
      <c r="R526" s="3066">
        <v>4208</v>
      </c>
      <c r="S526" s="3066" t="s">
        <v>3567</v>
      </c>
      <c r="T526" s="3066">
        <v>20</v>
      </c>
      <c r="U526" s="3066">
        <v>756</v>
      </c>
      <c r="V526" s="3066" t="s">
        <v>3560</v>
      </c>
      <c r="W526" s="3066" t="s">
        <v>3568</v>
      </c>
      <c r="X526" s="3066">
        <v>2.2599999999999998</v>
      </c>
      <c r="Y526" s="3066">
        <v>1027.2</v>
      </c>
      <c r="Z526" s="3066" t="s">
        <v>3568</v>
      </c>
      <c r="AA526" s="3066" t="s">
        <v>3560</v>
      </c>
      <c r="AB526" s="3066" t="s">
        <v>3932</v>
      </c>
      <c r="AC526" s="3066" t="s">
        <v>3932</v>
      </c>
      <c r="AD526" s="3066" t="s">
        <v>3932</v>
      </c>
      <c r="AE526" s="3066" t="s">
        <v>3560</v>
      </c>
      <c r="AF526" s="3067">
        <v>756</v>
      </c>
      <c r="AG526" s="3066">
        <v>756</v>
      </c>
      <c r="AH526" s="3066">
        <v>85.6</v>
      </c>
      <c r="AI526" s="3066">
        <v>85.6</v>
      </c>
      <c r="AJ526" s="3066">
        <v>178.65</v>
      </c>
      <c r="AK526" s="3066">
        <v>178.65</v>
      </c>
      <c r="AL526" s="3066">
        <v>1020.25</v>
      </c>
      <c r="AM526" s="3066">
        <v>1020.25</v>
      </c>
      <c r="AN526" s="3066" t="s">
        <v>3560</v>
      </c>
      <c r="AP526" s="3068">
        <f t="shared" si="8"/>
        <v>20</v>
      </c>
    </row>
    <row r="527" spans="2:42" ht="27" customHeight="1">
      <c r="B527" s="3066">
        <v>535</v>
      </c>
      <c r="C527" s="3066" t="s">
        <v>5208</v>
      </c>
      <c r="D527" s="3066" t="s">
        <v>4209</v>
      </c>
      <c r="E527" s="3066" t="s">
        <v>5279</v>
      </c>
      <c r="F527" s="3066" t="s">
        <v>3917</v>
      </c>
      <c r="G527" s="3066" t="s">
        <v>1373</v>
      </c>
      <c r="H527" s="3066" t="s">
        <v>3560</v>
      </c>
      <c r="I527" s="3066" t="s">
        <v>5280</v>
      </c>
      <c r="J527" s="3066" t="s">
        <v>3560</v>
      </c>
      <c r="K527" s="3066" t="s">
        <v>3560</v>
      </c>
      <c r="L527" s="3066" t="s">
        <v>5281</v>
      </c>
      <c r="M527" s="3066" t="s">
        <v>5282</v>
      </c>
      <c r="N527" s="3066">
        <v>37.799999999999997</v>
      </c>
      <c r="O527" s="3066" t="s">
        <v>5283</v>
      </c>
      <c r="P527" s="3066" t="s">
        <v>3940</v>
      </c>
      <c r="Q527" s="3066">
        <v>1</v>
      </c>
      <c r="R527" s="3066">
        <v>2638</v>
      </c>
      <c r="S527" s="3066" t="s">
        <v>3567</v>
      </c>
      <c r="T527" s="3066">
        <v>20</v>
      </c>
      <c r="U527" s="3066">
        <v>756</v>
      </c>
      <c r="V527" s="3066" t="s">
        <v>3560</v>
      </c>
      <c r="W527" s="3066" t="s">
        <v>3568</v>
      </c>
      <c r="X527" s="3066">
        <v>2.2599999999999998</v>
      </c>
      <c r="Y527" s="3066">
        <v>1027.2</v>
      </c>
      <c r="Z527" s="3066" t="s">
        <v>3568</v>
      </c>
      <c r="AA527" s="3066" t="s">
        <v>3560</v>
      </c>
      <c r="AB527" s="3066" t="s">
        <v>5284</v>
      </c>
      <c r="AC527" s="3066" t="s">
        <v>5284</v>
      </c>
      <c r="AD527" s="3066" t="s">
        <v>5284</v>
      </c>
      <c r="AE527" s="3066" t="s">
        <v>3560</v>
      </c>
      <c r="AF527" s="3067">
        <v>793.8</v>
      </c>
      <c r="AG527" s="3066">
        <v>793.8</v>
      </c>
      <c r="AH527" s="3066">
        <v>85.6</v>
      </c>
      <c r="AI527" s="3066">
        <v>85.6</v>
      </c>
      <c r="AJ527" s="3066">
        <v>141.33000000000001</v>
      </c>
      <c r="AK527" s="3066">
        <v>141.33000000000001</v>
      </c>
      <c r="AL527" s="3066">
        <v>1020.73</v>
      </c>
      <c r="AM527" s="3066">
        <v>1020.73</v>
      </c>
      <c r="AN527" s="3066" t="s">
        <v>3560</v>
      </c>
      <c r="AP527" s="3068">
        <f t="shared" si="8"/>
        <v>21</v>
      </c>
    </row>
    <row r="528" spans="2:42" ht="27" customHeight="1">
      <c r="B528" s="3066">
        <v>536</v>
      </c>
      <c r="C528" s="3066" t="s">
        <v>5208</v>
      </c>
      <c r="D528" s="3066" t="s">
        <v>4209</v>
      </c>
      <c r="E528" s="3066" t="s">
        <v>5279</v>
      </c>
      <c r="F528" s="3066" t="s">
        <v>3917</v>
      </c>
      <c r="G528" s="3066" t="s">
        <v>1373</v>
      </c>
      <c r="H528" s="3066" t="s">
        <v>3560</v>
      </c>
      <c r="I528" s="3066" t="s">
        <v>5280</v>
      </c>
      <c r="J528" s="3066" t="s">
        <v>3560</v>
      </c>
      <c r="K528" s="3066" t="s">
        <v>3560</v>
      </c>
      <c r="L528" s="3066" t="s">
        <v>5281</v>
      </c>
      <c r="M528" s="3066" t="s">
        <v>5282</v>
      </c>
      <c r="N528" s="3066">
        <v>37.799999999999997</v>
      </c>
      <c r="O528" s="3066" t="s">
        <v>5230</v>
      </c>
      <c r="P528" s="3066" t="s">
        <v>4096</v>
      </c>
      <c r="Q528" s="3066">
        <v>1</v>
      </c>
      <c r="R528" s="3066">
        <v>2638</v>
      </c>
      <c r="S528" s="3066" t="s">
        <v>3567</v>
      </c>
      <c r="T528" s="3066">
        <v>21</v>
      </c>
      <c r="U528" s="3066">
        <v>793.8</v>
      </c>
      <c r="V528" s="3066" t="s">
        <v>3560</v>
      </c>
      <c r="W528" s="3066" t="s">
        <v>3568</v>
      </c>
      <c r="X528" s="3066">
        <v>2.2599999999999998</v>
      </c>
      <c r="Y528" s="3066">
        <v>1027.2</v>
      </c>
      <c r="Z528" s="3066" t="s">
        <v>3568</v>
      </c>
      <c r="AA528" s="3066" t="s">
        <v>3560</v>
      </c>
      <c r="AB528" s="3066" t="s">
        <v>4868</v>
      </c>
      <c r="AC528" s="3066" t="s">
        <v>4868</v>
      </c>
      <c r="AD528" s="3066" t="s">
        <v>4868</v>
      </c>
      <c r="AE528" s="3066" t="s">
        <v>3560</v>
      </c>
      <c r="AF528" s="3067">
        <v>793.8</v>
      </c>
      <c r="AG528" s="3066">
        <v>793.8</v>
      </c>
      <c r="AH528" s="3066">
        <v>85.6</v>
      </c>
      <c r="AI528" s="3066">
        <v>85.6</v>
      </c>
      <c r="AJ528" s="3066">
        <v>141.33000000000001</v>
      </c>
      <c r="AK528" s="3066">
        <v>141.33000000000001</v>
      </c>
      <c r="AL528" s="3066">
        <v>1020.73</v>
      </c>
      <c r="AM528" s="3066">
        <v>1020.73</v>
      </c>
      <c r="AN528" s="3066" t="s">
        <v>3560</v>
      </c>
      <c r="AP528" s="3068">
        <f t="shared" si="8"/>
        <v>21</v>
      </c>
    </row>
    <row r="529" spans="2:42" ht="27" customHeight="1">
      <c r="B529" s="3066">
        <v>537</v>
      </c>
      <c r="C529" s="3066" t="s">
        <v>5208</v>
      </c>
      <c r="D529" s="3066" t="s">
        <v>4209</v>
      </c>
      <c r="E529" s="3066" t="s">
        <v>5285</v>
      </c>
      <c r="F529" s="3066" t="s">
        <v>3917</v>
      </c>
      <c r="G529" s="3066" t="s">
        <v>1373</v>
      </c>
      <c r="H529" s="3066" t="s">
        <v>3560</v>
      </c>
      <c r="I529" s="3066" t="s">
        <v>5286</v>
      </c>
      <c r="J529" s="3066" t="s">
        <v>3560</v>
      </c>
      <c r="K529" s="3066" t="s">
        <v>3560</v>
      </c>
      <c r="L529" s="3066" t="s">
        <v>5287</v>
      </c>
      <c r="M529" s="3066" t="s">
        <v>5288</v>
      </c>
      <c r="N529" s="3066">
        <v>37.799999999999997</v>
      </c>
      <c r="O529" s="3066" t="s">
        <v>3619</v>
      </c>
      <c r="P529" s="3066" t="s">
        <v>3566</v>
      </c>
      <c r="Q529" s="3066">
        <v>1</v>
      </c>
      <c r="R529" s="3066">
        <v>4208</v>
      </c>
      <c r="S529" s="3066" t="s">
        <v>3567</v>
      </c>
      <c r="T529" s="3066">
        <v>20</v>
      </c>
      <c r="U529" s="3066">
        <v>756</v>
      </c>
      <c r="V529" s="3066" t="s">
        <v>3560</v>
      </c>
      <c r="W529" s="3066" t="s">
        <v>3568</v>
      </c>
      <c r="X529" s="3066">
        <v>2.2599999999999998</v>
      </c>
      <c r="Y529" s="3066">
        <v>1027.2</v>
      </c>
      <c r="Z529" s="3066" t="s">
        <v>3568</v>
      </c>
      <c r="AA529" s="3066" t="s">
        <v>3560</v>
      </c>
      <c r="AB529" s="3066" t="s">
        <v>3584</v>
      </c>
      <c r="AC529" s="3066" t="s">
        <v>3584</v>
      </c>
      <c r="AD529" s="3066" t="s">
        <v>3584</v>
      </c>
      <c r="AE529" s="3066" t="s">
        <v>3560</v>
      </c>
      <c r="AF529" s="3067">
        <v>0</v>
      </c>
      <c r="AG529" s="3066">
        <v>0</v>
      </c>
      <c r="AH529" s="3066">
        <v>0</v>
      </c>
      <c r="AI529" s="3066">
        <v>0</v>
      </c>
      <c r="AJ529" s="3066">
        <v>79.459999999999994</v>
      </c>
      <c r="AK529" s="3066">
        <v>0</v>
      </c>
      <c r="AL529" s="3066">
        <v>79.459999999999994</v>
      </c>
      <c r="AM529" s="3066">
        <v>0</v>
      </c>
      <c r="AN529" s="3066" t="s">
        <v>3560</v>
      </c>
      <c r="AP529" s="3068">
        <f t="shared" si="8"/>
        <v>0</v>
      </c>
    </row>
    <row r="530" spans="2:42" ht="27" customHeight="1">
      <c r="B530" s="3066">
        <v>538</v>
      </c>
      <c r="C530" s="3066" t="s">
        <v>5208</v>
      </c>
      <c r="D530" s="3066" t="s">
        <v>4209</v>
      </c>
      <c r="E530" s="3066" t="s">
        <v>5289</v>
      </c>
      <c r="F530" s="3066" t="s">
        <v>3917</v>
      </c>
      <c r="G530" s="3066" t="s">
        <v>1373</v>
      </c>
      <c r="H530" s="3066" t="s">
        <v>3560</v>
      </c>
      <c r="I530" s="3066" t="s">
        <v>5290</v>
      </c>
      <c r="J530" s="3066" t="s">
        <v>3560</v>
      </c>
      <c r="K530" s="3066" t="s">
        <v>3560</v>
      </c>
      <c r="L530" s="3066" t="s">
        <v>5291</v>
      </c>
      <c r="M530" s="3066" t="s">
        <v>5292</v>
      </c>
      <c r="N530" s="3066">
        <v>37.799999999999997</v>
      </c>
      <c r="O530" s="3066" t="s">
        <v>3608</v>
      </c>
      <c r="P530" s="3066" t="s">
        <v>3566</v>
      </c>
      <c r="Q530" s="3066">
        <v>1</v>
      </c>
      <c r="R530" s="3066">
        <v>12111</v>
      </c>
      <c r="S530" s="3066" t="s">
        <v>3567</v>
      </c>
      <c r="T530" s="3066">
        <v>20</v>
      </c>
      <c r="U530" s="3066">
        <v>756</v>
      </c>
      <c r="V530" s="3066" t="s">
        <v>3560</v>
      </c>
      <c r="W530" s="3066" t="s">
        <v>3568</v>
      </c>
      <c r="X530" s="3066">
        <v>2.2599999999999998</v>
      </c>
      <c r="Y530" s="3066">
        <v>1027.2</v>
      </c>
      <c r="Z530" s="3066" t="s">
        <v>3568</v>
      </c>
      <c r="AA530" s="3066" t="s">
        <v>3560</v>
      </c>
      <c r="AB530" s="3066" t="s">
        <v>3609</v>
      </c>
      <c r="AC530" s="3066" t="s">
        <v>3609</v>
      </c>
      <c r="AD530" s="3066" t="s">
        <v>3609</v>
      </c>
      <c r="AE530" s="3066" t="s">
        <v>3560</v>
      </c>
      <c r="AF530" s="3067">
        <v>756</v>
      </c>
      <c r="AG530" s="3066">
        <v>756</v>
      </c>
      <c r="AH530" s="3066">
        <v>85.6</v>
      </c>
      <c r="AI530" s="3066">
        <v>85.6</v>
      </c>
      <c r="AJ530" s="3066">
        <v>54.56</v>
      </c>
      <c r="AK530" s="3066">
        <v>54.56</v>
      </c>
      <c r="AL530" s="3066">
        <v>896.16</v>
      </c>
      <c r="AM530" s="3066">
        <v>896.16</v>
      </c>
      <c r="AN530" s="3066" t="s">
        <v>3560</v>
      </c>
      <c r="AP530" s="3068">
        <f t="shared" si="8"/>
        <v>20</v>
      </c>
    </row>
    <row r="531" spans="2:42" ht="27" customHeight="1">
      <c r="B531" s="3066">
        <v>539</v>
      </c>
      <c r="C531" s="3066" t="s">
        <v>5208</v>
      </c>
      <c r="D531" s="3066" t="s">
        <v>4209</v>
      </c>
      <c r="E531" s="3066" t="s">
        <v>5293</v>
      </c>
      <c r="F531" s="3066" t="s">
        <v>3917</v>
      </c>
      <c r="G531" s="3066" t="s">
        <v>1373</v>
      </c>
      <c r="H531" s="3066" t="s">
        <v>3560</v>
      </c>
      <c r="I531" s="3066" t="s">
        <v>5290</v>
      </c>
      <c r="J531" s="3066" t="s">
        <v>3560</v>
      </c>
      <c r="K531" s="3066" t="s">
        <v>3560</v>
      </c>
      <c r="L531" s="3066" t="s">
        <v>5291</v>
      </c>
      <c r="M531" s="3066" t="s">
        <v>5294</v>
      </c>
      <c r="N531" s="3066">
        <v>37.799999999999997</v>
      </c>
      <c r="O531" s="3066" t="s">
        <v>3608</v>
      </c>
      <c r="P531" s="3066" t="s">
        <v>3566</v>
      </c>
      <c r="Q531" s="3066">
        <v>1</v>
      </c>
      <c r="R531" s="3066">
        <v>0</v>
      </c>
      <c r="S531" s="3066" t="s">
        <v>3577</v>
      </c>
      <c r="T531" s="3066">
        <v>20</v>
      </c>
      <c r="U531" s="3066">
        <v>756</v>
      </c>
      <c r="V531" s="3066" t="s">
        <v>3560</v>
      </c>
      <c r="W531" s="3066" t="s">
        <v>3568</v>
      </c>
      <c r="X531" s="3066">
        <v>2.2599999999999998</v>
      </c>
      <c r="Y531" s="3066">
        <v>1027.2</v>
      </c>
      <c r="Z531" s="3066" t="s">
        <v>3568</v>
      </c>
      <c r="AA531" s="3066" t="s">
        <v>3560</v>
      </c>
      <c r="AB531" s="3066" t="s">
        <v>3609</v>
      </c>
      <c r="AC531" s="3066" t="s">
        <v>3609</v>
      </c>
      <c r="AD531" s="3066" t="s">
        <v>3609</v>
      </c>
      <c r="AE531" s="3066" t="s">
        <v>3560</v>
      </c>
      <c r="AF531" s="3067">
        <v>756</v>
      </c>
      <c r="AG531" s="3066">
        <v>756</v>
      </c>
      <c r="AH531" s="3066">
        <v>85.6</v>
      </c>
      <c r="AI531" s="3066">
        <v>85.6</v>
      </c>
      <c r="AJ531" s="3066">
        <v>56.77</v>
      </c>
      <c r="AK531" s="3066">
        <v>56.77</v>
      </c>
      <c r="AL531" s="3066">
        <v>898.37</v>
      </c>
      <c r="AM531" s="3066">
        <v>898.37</v>
      </c>
      <c r="AN531" s="3066" t="s">
        <v>3560</v>
      </c>
      <c r="AP531" s="3068">
        <f t="shared" si="8"/>
        <v>20</v>
      </c>
    </row>
    <row r="532" spans="2:42" ht="27" customHeight="1">
      <c r="B532" s="3066">
        <v>540</v>
      </c>
      <c r="C532" s="3066" t="s">
        <v>5208</v>
      </c>
      <c r="D532" s="3066" t="s">
        <v>4209</v>
      </c>
      <c r="E532" s="3066" t="s">
        <v>5295</v>
      </c>
      <c r="F532" s="3066" t="s">
        <v>3917</v>
      </c>
      <c r="G532" s="3066" t="s">
        <v>1373</v>
      </c>
      <c r="H532" s="3066" t="s">
        <v>3560</v>
      </c>
      <c r="I532" s="3066" t="s">
        <v>5290</v>
      </c>
      <c r="J532" s="3066" t="s">
        <v>3560</v>
      </c>
      <c r="K532" s="3066" t="s">
        <v>3560</v>
      </c>
      <c r="L532" s="3066" t="s">
        <v>5291</v>
      </c>
      <c r="M532" s="3066" t="s">
        <v>5296</v>
      </c>
      <c r="N532" s="3066">
        <v>37.799999999999997</v>
      </c>
      <c r="O532" s="3066" t="s">
        <v>3608</v>
      </c>
      <c r="P532" s="3066" t="s">
        <v>3566</v>
      </c>
      <c r="Q532" s="3066">
        <v>1</v>
      </c>
      <c r="R532" s="3066">
        <v>0</v>
      </c>
      <c r="S532" s="3066" t="s">
        <v>3577</v>
      </c>
      <c r="T532" s="3066">
        <v>20</v>
      </c>
      <c r="U532" s="3066">
        <v>756</v>
      </c>
      <c r="V532" s="3066" t="s">
        <v>3560</v>
      </c>
      <c r="W532" s="3066" t="s">
        <v>3568</v>
      </c>
      <c r="X532" s="3066">
        <v>2.2599999999999998</v>
      </c>
      <c r="Y532" s="3066">
        <v>1027.2</v>
      </c>
      <c r="Z532" s="3066" t="s">
        <v>3568</v>
      </c>
      <c r="AA532" s="3066" t="s">
        <v>3560</v>
      </c>
      <c r="AB532" s="3066" t="s">
        <v>3609</v>
      </c>
      <c r="AC532" s="3066" t="s">
        <v>3609</v>
      </c>
      <c r="AD532" s="3066" t="s">
        <v>3609</v>
      </c>
      <c r="AE532" s="3066" t="s">
        <v>3560</v>
      </c>
      <c r="AF532" s="3067">
        <v>756</v>
      </c>
      <c r="AG532" s="3066">
        <v>756</v>
      </c>
      <c r="AH532" s="3066">
        <v>85.6</v>
      </c>
      <c r="AI532" s="3066">
        <v>85.6</v>
      </c>
      <c r="AJ532" s="3066">
        <v>80.650000000000006</v>
      </c>
      <c r="AK532" s="3066">
        <v>80.650000000000006</v>
      </c>
      <c r="AL532" s="3066">
        <v>922.25</v>
      </c>
      <c r="AM532" s="3066">
        <v>922.25</v>
      </c>
      <c r="AN532" s="3066" t="s">
        <v>3560</v>
      </c>
      <c r="AP532" s="3068">
        <f t="shared" si="8"/>
        <v>20</v>
      </c>
    </row>
    <row r="533" spans="2:42" ht="27" customHeight="1">
      <c r="B533" s="3066">
        <v>541</v>
      </c>
      <c r="C533" s="3066" t="s">
        <v>5208</v>
      </c>
      <c r="D533" s="3066" t="s">
        <v>4209</v>
      </c>
      <c r="E533" s="3066" t="s">
        <v>5297</v>
      </c>
      <c r="F533" s="3066" t="s">
        <v>3917</v>
      </c>
      <c r="G533" s="3066" t="s">
        <v>1373</v>
      </c>
      <c r="H533" s="3066" t="s">
        <v>3560</v>
      </c>
      <c r="I533" s="3066" t="s">
        <v>5290</v>
      </c>
      <c r="J533" s="3066" t="s">
        <v>3560</v>
      </c>
      <c r="K533" s="3066" t="s">
        <v>3560</v>
      </c>
      <c r="L533" s="3066" t="s">
        <v>5291</v>
      </c>
      <c r="M533" s="3066" t="s">
        <v>5298</v>
      </c>
      <c r="N533" s="3066">
        <v>37.799999999999997</v>
      </c>
      <c r="O533" s="3066" t="s">
        <v>3608</v>
      </c>
      <c r="P533" s="3066" t="s">
        <v>3566</v>
      </c>
      <c r="Q533" s="3066">
        <v>1</v>
      </c>
      <c r="R533" s="3066">
        <v>0</v>
      </c>
      <c r="S533" s="3066" t="s">
        <v>3577</v>
      </c>
      <c r="T533" s="3066">
        <v>20</v>
      </c>
      <c r="U533" s="3066">
        <v>756</v>
      </c>
      <c r="V533" s="3066" t="s">
        <v>3560</v>
      </c>
      <c r="W533" s="3066" t="s">
        <v>3568</v>
      </c>
      <c r="X533" s="3066">
        <v>2.2599999999999998</v>
      </c>
      <c r="Y533" s="3066">
        <v>1027.2</v>
      </c>
      <c r="Z533" s="3066" t="s">
        <v>3568</v>
      </c>
      <c r="AA533" s="3066" t="s">
        <v>3560</v>
      </c>
      <c r="AB533" s="3066" t="s">
        <v>3609</v>
      </c>
      <c r="AC533" s="3066" t="s">
        <v>3609</v>
      </c>
      <c r="AD533" s="3066" t="s">
        <v>3609</v>
      </c>
      <c r="AE533" s="3066" t="s">
        <v>3560</v>
      </c>
      <c r="AF533" s="3067">
        <v>756</v>
      </c>
      <c r="AG533" s="3066">
        <v>756</v>
      </c>
      <c r="AH533" s="3066">
        <v>85.6</v>
      </c>
      <c r="AI533" s="3066">
        <v>85.6</v>
      </c>
      <c r="AJ533" s="3066">
        <v>72.239999999999995</v>
      </c>
      <c r="AK533" s="3066">
        <v>72.239999999999995</v>
      </c>
      <c r="AL533" s="3066">
        <v>913.84</v>
      </c>
      <c r="AM533" s="3066">
        <v>913.84</v>
      </c>
      <c r="AN533" s="3066" t="s">
        <v>3560</v>
      </c>
      <c r="AP533" s="3068">
        <f t="shared" si="8"/>
        <v>20</v>
      </c>
    </row>
    <row r="534" spans="2:42" ht="27" customHeight="1">
      <c r="B534" s="3066">
        <v>542</v>
      </c>
      <c r="C534" s="3066" t="s">
        <v>5208</v>
      </c>
      <c r="D534" s="3066" t="s">
        <v>4209</v>
      </c>
      <c r="E534" s="3066" t="s">
        <v>5299</v>
      </c>
      <c r="F534" s="3066" t="s">
        <v>3917</v>
      </c>
      <c r="G534" s="3066" t="s">
        <v>1373</v>
      </c>
      <c r="H534" s="3066" t="s">
        <v>3560</v>
      </c>
      <c r="I534" s="3066" t="s">
        <v>5290</v>
      </c>
      <c r="J534" s="3066" t="s">
        <v>3560</v>
      </c>
      <c r="K534" s="3066" t="s">
        <v>3560</v>
      </c>
      <c r="L534" s="3066" t="s">
        <v>5291</v>
      </c>
      <c r="M534" s="3066" t="s">
        <v>5300</v>
      </c>
      <c r="N534" s="3066">
        <v>37.799999999999997</v>
      </c>
      <c r="O534" s="3066" t="s">
        <v>3608</v>
      </c>
      <c r="P534" s="3066" t="s">
        <v>3566</v>
      </c>
      <c r="Q534" s="3066">
        <v>1</v>
      </c>
      <c r="R534" s="3066">
        <v>0</v>
      </c>
      <c r="S534" s="3066" t="s">
        <v>3577</v>
      </c>
      <c r="T534" s="3066">
        <v>20</v>
      </c>
      <c r="U534" s="3066">
        <v>756</v>
      </c>
      <c r="V534" s="3066" t="s">
        <v>3560</v>
      </c>
      <c r="W534" s="3066" t="s">
        <v>3568</v>
      </c>
      <c r="X534" s="3066">
        <v>2.2599999999999998</v>
      </c>
      <c r="Y534" s="3066">
        <v>1027.2</v>
      </c>
      <c r="Z534" s="3066" t="s">
        <v>3568</v>
      </c>
      <c r="AA534" s="3066" t="s">
        <v>3560</v>
      </c>
      <c r="AB534" s="3066" t="s">
        <v>3609</v>
      </c>
      <c r="AC534" s="3066" t="s">
        <v>3609</v>
      </c>
      <c r="AD534" s="3066" t="s">
        <v>3609</v>
      </c>
      <c r="AE534" s="3066" t="s">
        <v>3560</v>
      </c>
      <c r="AF534" s="3067">
        <v>756</v>
      </c>
      <c r="AG534" s="3066">
        <v>756</v>
      </c>
      <c r="AH534" s="3066">
        <v>85.6</v>
      </c>
      <c r="AI534" s="3066">
        <v>85.6</v>
      </c>
      <c r="AJ534" s="3066">
        <v>141.16</v>
      </c>
      <c r="AK534" s="3066">
        <v>141.16</v>
      </c>
      <c r="AL534" s="3066">
        <v>982.76</v>
      </c>
      <c r="AM534" s="3066">
        <v>982.76</v>
      </c>
      <c r="AN534" s="3066" t="s">
        <v>3560</v>
      </c>
      <c r="AP534" s="3068">
        <f t="shared" si="8"/>
        <v>20</v>
      </c>
    </row>
    <row r="535" spans="2:42" ht="27" customHeight="1">
      <c r="B535" s="3066">
        <v>543</v>
      </c>
      <c r="C535" s="3066" t="s">
        <v>5208</v>
      </c>
      <c r="D535" s="3066" t="s">
        <v>4209</v>
      </c>
      <c r="E535" s="3066" t="s">
        <v>5301</v>
      </c>
      <c r="F535" s="3066" t="s">
        <v>3917</v>
      </c>
      <c r="G535" s="3066" t="s">
        <v>1373</v>
      </c>
      <c r="H535" s="3066" t="s">
        <v>3560</v>
      </c>
      <c r="I535" s="3066" t="s">
        <v>5290</v>
      </c>
      <c r="J535" s="3066" t="s">
        <v>3560</v>
      </c>
      <c r="K535" s="3066" t="s">
        <v>3560</v>
      </c>
      <c r="L535" s="3066" t="s">
        <v>5291</v>
      </c>
      <c r="M535" s="3066" t="s">
        <v>5302</v>
      </c>
      <c r="N535" s="3066">
        <v>37.799999999999997</v>
      </c>
      <c r="O535" s="3066" t="s">
        <v>3608</v>
      </c>
      <c r="P535" s="3066" t="s">
        <v>3566</v>
      </c>
      <c r="Q535" s="3066">
        <v>1</v>
      </c>
      <c r="R535" s="3066">
        <v>0</v>
      </c>
      <c r="S535" s="3066" t="s">
        <v>3577</v>
      </c>
      <c r="T535" s="3066">
        <v>20</v>
      </c>
      <c r="U535" s="3066">
        <v>756</v>
      </c>
      <c r="V535" s="3066" t="s">
        <v>3560</v>
      </c>
      <c r="W535" s="3066" t="s">
        <v>3568</v>
      </c>
      <c r="X535" s="3066">
        <v>2.2599999999999998</v>
      </c>
      <c r="Y535" s="3066">
        <v>1027.2</v>
      </c>
      <c r="Z535" s="3066" t="s">
        <v>3568</v>
      </c>
      <c r="AA535" s="3066" t="s">
        <v>3560</v>
      </c>
      <c r="AB535" s="3066" t="s">
        <v>3609</v>
      </c>
      <c r="AC535" s="3066" t="s">
        <v>3609</v>
      </c>
      <c r="AD535" s="3066" t="s">
        <v>3609</v>
      </c>
      <c r="AE535" s="3066" t="s">
        <v>3560</v>
      </c>
      <c r="AF535" s="3067">
        <v>756</v>
      </c>
      <c r="AG535" s="3066">
        <v>756</v>
      </c>
      <c r="AH535" s="3066">
        <v>85.6</v>
      </c>
      <c r="AI535" s="3066">
        <v>85.6</v>
      </c>
      <c r="AJ535" s="3066">
        <v>124.58</v>
      </c>
      <c r="AK535" s="3066">
        <v>124.58</v>
      </c>
      <c r="AL535" s="3066">
        <v>966.18</v>
      </c>
      <c r="AM535" s="3066">
        <v>966.18</v>
      </c>
      <c r="AN535" s="3066" t="s">
        <v>3560</v>
      </c>
      <c r="AP535" s="3068">
        <f t="shared" si="8"/>
        <v>20</v>
      </c>
    </row>
    <row r="536" spans="2:42" ht="27" customHeight="1">
      <c r="B536" s="3066">
        <v>544</v>
      </c>
      <c r="C536" s="3066" t="s">
        <v>5303</v>
      </c>
      <c r="D536" s="3066" t="s">
        <v>4019</v>
      </c>
      <c r="E536" s="3066" t="s">
        <v>5304</v>
      </c>
      <c r="F536" s="3066" t="s">
        <v>3917</v>
      </c>
      <c r="G536" s="3066" t="s">
        <v>1373</v>
      </c>
      <c r="H536" s="3066" t="s">
        <v>3560</v>
      </c>
      <c r="I536" s="3066" t="s">
        <v>5305</v>
      </c>
      <c r="J536" s="3066" t="s">
        <v>3560</v>
      </c>
      <c r="K536" s="3066" t="s">
        <v>3560</v>
      </c>
      <c r="L536" s="3066" t="s">
        <v>5306</v>
      </c>
      <c r="M536" s="3066" t="s">
        <v>5307</v>
      </c>
      <c r="N536" s="3066">
        <v>35.6</v>
      </c>
      <c r="O536" s="3066" t="s">
        <v>4064</v>
      </c>
      <c r="P536" s="3066" t="s">
        <v>3566</v>
      </c>
      <c r="Q536" s="3066">
        <v>5</v>
      </c>
      <c r="R536" s="3066">
        <v>0</v>
      </c>
      <c r="S536" s="3066" t="s">
        <v>3577</v>
      </c>
      <c r="T536" s="3066">
        <v>2.81</v>
      </c>
      <c r="U536" s="3066">
        <v>100</v>
      </c>
      <c r="V536" s="3066" t="s">
        <v>3560</v>
      </c>
      <c r="W536" s="3066" t="s">
        <v>3568</v>
      </c>
      <c r="X536" s="3066">
        <v>0.28000000000000003</v>
      </c>
      <c r="Y536" s="3066">
        <v>120</v>
      </c>
      <c r="Z536" s="3066" t="s">
        <v>3568</v>
      </c>
      <c r="AA536" s="3066" t="s">
        <v>3560</v>
      </c>
      <c r="AB536" s="3066" t="s">
        <v>3642</v>
      </c>
      <c r="AC536" s="3066" t="s">
        <v>3642</v>
      </c>
      <c r="AD536" s="3066" t="s">
        <v>3642</v>
      </c>
      <c r="AE536" s="3066" t="s">
        <v>3560</v>
      </c>
      <c r="AF536" s="3067">
        <v>100</v>
      </c>
      <c r="AG536" s="3066">
        <v>100</v>
      </c>
      <c r="AH536" s="3066">
        <v>10</v>
      </c>
      <c r="AI536" s="3066">
        <v>10</v>
      </c>
      <c r="AJ536" s="3066">
        <v>6.57</v>
      </c>
      <c r="AK536" s="3066">
        <v>6.57</v>
      </c>
      <c r="AL536" s="3066">
        <v>116.57</v>
      </c>
      <c r="AM536" s="3066">
        <v>116.57</v>
      </c>
      <c r="AN536" s="3066" t="s">
        <v>3560</v>
      </c>
      <c r="AP536" s="3068">
        <f t="shared" si="8"/>
        <v>2.8089887640449436</v>
      </c>
    </row>
    <row r="537" spans="2:42" ht="27" customHeight="1">
      <c r="B537" s="3066">
        <v>545</v>
      </c>
      <c r="C537" s="3066" t="s">
        <v>5303</v>
      </c>
      <c r="D537" s="3066" t="s">
        <v>4019</v>
      </c>
      <c r="E537" s="3066" t="s">
        <v>5308</v>
      </c>
      <c r="F537" s="3066" t="s">
        <v>3917</v>
      </c>
      <c r="G537" s="3066" t="s">
        <v>1373</v>
      </c>
      <c r="H537" s="3066" t="s">
        <v>3560</v>
      </c>
      <c r="I537" s="3066" t="s">
        <v>3860</v>
      </c>
      <c r="J537" s="3066" t="s">
        <v>3861</v>
      </c>
      <c r="K537" s="3066" t="s">
        <v>3560</v>
      </c>
      <c r="L537" s="3066" t="s">
        <v>3862</v>
      </c>
      <c r="M537" s="3066" t="s">
        <v>5309</v>
      </c>
      <c r="N537" s="3066">
        <v>35.6</v>
      </c>
      <c r="O537" s="3066" t="s">
        <v>3619</v>
      </c>
      <c r="P537" s="3066" t="s">
        <v>3566</v>
      </c>
      <c r="Q537" s="3066">
        <v>1</v>
      </c>
      <c r="R537" s="3066">
        <v>4364.8999999999996</v>
      </c>
      <c r="S537" s="3066" t="s">
        <v>3567</v>
      </c>
      <c r="T537" s="3066">
        <v>20</v>
      </c>
      <c r="U537" s="3066">
        <v>712</v>
      </c>
      <c r="V537" s="3066" t="s">
        <v>3560</v>
      </c>
      <c r="W537" s="3066" t="s">
        <v>3568</v>
      </c>
      <c r="X537" s="3066">
        <v>2</v>
      </c>
      <c r="Y537" s="3066">
        <v>854.4</v>
      </c>
      <c r="Z537" s="3066" t="s">
        <v>3568</v>
      </c>
      <c r="AA537" s="3066" t="s">
        <v>3560</v>
      </c>
      <c r="AB537" s="3066" t="s">
        <v>3584</v>
      </c>
      <c r="AC537" s="3066" t="s">
        <v>3584</v>
      </c>
      <c r="AD537" s="3066" t="s">
        <v>3584</v>
      </c>
      <c r="AE537" s="3066" t="s">
        <v>3560</v>
      </c>
      <c r="AF537" s="3067">
        <v>712</v>
      </c>
      <c r="AG537" s="3066">
        <v>712</v>
      </c>
      <c r="AH537" s="3066">
        <v>71.2</v>
      </c>
      <c r="AI537" s="3066">
        <v>71.2</v>
      </c>
      <c r="AJ537" s="3066">
        <v>88.42</v>
      </c>
      <c r="AK537" s="3066">
        <v>88.42</v>
      </c>
      <c r="AL537" s="3066">
        <v>871.62</v>
      </c>
      <c r="AM537" s="3066">
        <v>871.62</v>
      </c>
      <c r="AN537" s="3066" t="s">
        <v>3560</v>
      </c>
      <c r="AP537" s="3068">
        <f t="shared" si="8"/>
        <v>20</v>
      </c>
    </row>
    <row r="538" spans="2:42" ht="27" customHeight="1">
      <c r="B538" s="3066">
        <v>546</v>
      </c>
      <c r="C538" s="3066" t="s">
        <v>5303</v>
      </c>
      <c r="D538" s="3066" t="s">
        <v>4019</v>
      </c>
      <c r="E538" s="3066" t="s">
        <v>5310</v>
      </c>
      <c r="F538" s="3066" t="s">
        <v>3917</v>
      </c>
      <c r="G538" s="3066" t="s">
        <v>1373</v>
      </c>
      <c r="H538" s="3066" t="s">
        <v>3560</v>
      </c>
      <c r="I538" s="3066" t="s">
        <v>3860</v>
      </c>
      <c r="J538" s="3066" t="s">
        <v>3861</v>
      </c>
      <c r="K538" s="3066" t="s">
        <v>3560</v>
      </c>
      <c r="L538" s="3066" t="s">
        <v>3862</v>
      </c>
      <c r="M538" s="3066" t="s">
        <v>5311</v>
      </c>
      <c r="N538" s="3066">
        <v>35.6</v>
      </c>
      <c r="O538" s="3066" t="s">
        <v>3619</v>
      </c>
      <c r="P538" s="3066" t="s">
        <v>3566</v>
      </c>
      <c r="Q538" s="3066">
        <v>1</v>
      </c>
      <c r="R538" s="3066">
        <v>0</v>
      </c>
      <c r="S538" s="3066" t="s">
        <v>3577</v>
      </c>
      <c r="T538" s="3066">
        <v>20</v>
      </c>
      <c r="U538" s="3066">
        <v>712</v>
      </c>
      <c r="V538" s="3066" t="s">
        <v>3560</v>
      </c>
      <c r="W538" s="3066" t="s">
        <v>3568</v>
      </c>
      <c r="X538" s="3066">
        <v>2</v>
      </c>
      <c r="Y538" s="3066">
        <v>854.4</v>
      </c>
      <c r="Z538" s="3066" t="s">
        <v>3568</v>
      </c>
      <c r="AA538" s="3066" t="s">
        <v>3560</v>
      </c>
      <c r="AB538" s="3066" t="s">
        <v>3584</v>
      </c>
      <c r="AC538" s="3066" t="s">
        <v>3584</v>
      </c>
      <c r="AD538" s="3066" t="s">
        <v>3584</v>
      </c>
      <c r="AE538" s="3066" t="s">
        <v>3560</v>
      </c>
      <c r="AF538" s="3067">
        <v>712</v>
      </c>
      <c r="AG538" s="3066">
        <v>712</v>
      </c>
      <c r="AH538" s="3066">
        <v>71.2</v>
      </c>
      <c r="AI538" s="3066">
        <v>71.2</v>
      </c>
      <c r="AJ538" s="3066">
        <v>84.2</v>
      </c>
      <c r="AK538" s="3066">
        <v>84.2</v>
      </c>
      <c r="AL538" s="3066">
        <v>867.4</v>
      </c>
      <c r="AM538" s="3066">
        <v>867.4</v>
      </c>
      <c r="AN538" s="3066" t="s">
        <v>3560</v>
      </c>
      <c r="AP538" s="3068">
        <f t="shared" si="8"/>
        <v>20</v>
      </c>
    </row>
    <row r="539" spans="2:42" ht="27" customHeight="1">
      <c r="B539" s="3066">
        <v>547</v>
      </c>
      <c r="C539" s="3066" t="s">
        <v>5303</v>
      </c>
      <c r="D539" s="3066" t="s">
        <v>4019</v>
      </c>
      <c r="E539" s="3066" t="s">
        <v>5312</v>
      </c>
      <c r="F539" s="3066" t="s">
        <v>3917</v>
      </c>
      <c r="G539" s="3066" t="s">
        <v>1373</v>
      </c>
      <c r="H539" s="3066" t="s">
        <v>3560</v>
      </c>
      <c r="I539" s="3066" t="s">
        <v>3860</v>
      </c>
      <c r="J539" s="3066" t="s">
        <v>3861</v>
      </c>
      <c r="K539" s="3066" t="s">
        <v>3560</v>
      </c>
      <c r="L539" s="3066" t="s">
        <v>3862</v>
      </c>
      <c r="M539" s="3066" t="s">
        <v>5313</v>
      </c>
      <c r="N539" s="3066">
        <v>35.6</v>
      </c>
      <c r="O539" s="3066" t="s">
        <v>3619</v>
      </c>
      <c r="P539" s="3066" t="s">
        <v>3566</v>
      </c>
      <c r="Q539" s="3066">
        <v>1</v>
      </c>
      <c r="R539" s="3066">
        <v>0</v>
      </c>
      <c r="S539" s="3066" t="s">
        <v>3577</v>
      </c>
      <c r="T539" s="3066">
        <v>20</v>
      </c>
      <c r="U539" s="3066">
        <v>712</v>
      </c>
      <c r="V539" s="3066" t="s">
        <v>3560</v>
      </c>
      <c r="W539" s="3066" t="s">
        <v>3568</v>
      </c>
      <c r="X539" s="3066">
        <v>2</v>
      </c>
      <c r="Y539" s="3066">
        <v>854.4</v>
      </c>
      <c r="Z539" s="3066" t="s">
        <v>3568</v>
      </c>
      <c r="AA539" s="3066" t="s">
        <v>3560</v>
      </c>
      <c r="AB539" s="3066" t="s">
        <v>3584</v>
      </c>
      <c r="AC539" s="3066" t="s">
        <v>3584</v>
      </c>
      <c r="AD539" s="3066" t="s">
        <v>3584</v>
      </c>
      <c r="AE539" s="3066" t="s">
        <v>3560</v>
      </c>
      <c r="AF539" s="3067">
        <v>712</v>
      </c>
      <c r="AG539" s="3066">
        <v>712</v>
      </c>
      <c r="AH539" s="3066">
        <v>71.2</v>
      </c>
      <c r="AI539" s="3066">
        <v>71.2</v>
      </c>
      <c r="AJ539" s="3066">
        <v>106.16</v>
      </c>
      <c r="AK539" s="3066">
        <v>106.16</v>
      </c>
      <c r="AL539" s="3066">
        <v>889.36</v>
      </c>
      <c r="AM539" s="3066">
        <v>889.36</v>
      </c>
      <c r="AN539" s="3066" t="s">
        <v>3560</v>
      </c>
      <c r="AP539" s="3068">
        <f t="shared" si="8"/>
        <v>20</v>
      </c>
    </row>
    <row r="540" spans="2:42" ht="27" customHeight="1">
      <c r="B540" s="3066">
        <v>548</v>
      </c>
      <c r="C540" s="3066" t="s">
        <v>5303</v>
      </c>
      <c r="D540" s="3066" t="s">
        <v>4019</v>
      </c>
      <c r="E540" s="3066" t="s">
        <v>5314</v>
      </c>
      <c r="F540" s="3066" t="s">
        <v>3917</v>
      </c>
      <c r="G540" s="3066" t="s">
        <v>1373</v>
      </c>
      <c r="H540" s="3066" t="s">
        <v>3560</v>
      </c>
      <c r="I540" s="3066" t="s">
        <v>3787</v>
      </c>
      <c r="J540" s="3066" t="s">
        <v>3788</v>
      </c>
      <c r="K540" s="3066" t="s">
        <v>3560</v>
      </c>
      <c r="L540" s="3066" t="s">
        <v>3789</v>
      </c>
      <c r="M540" s="3066" t="s">
        <v>5315</v>
      </c>
      <c r="N540" s="3066">
        <v>35.6</v>
      </c>
      <c r="O540" s="3066" t="s">
        <v>3744</v>
      </c>
      <c r="P540" s="3066" t="s">
        <v>3566</v>
      </c>
      <c r="Q540" s="3066">
        <v>1</v>
      </c>
      <c r="R540" s="3066">
        <v>6293.6</v>
      </c>
      <c r="S540" s="3066" t="s">
        <v>3567</v>
      </c>
      <c r="T540" s="3066">
        <v>20</v>
      </c>
      <c r="U540" s="3066">
        <v>712</v>
      </c>
      <c r="V540" s="3066" t="s">
        <v>3560</v>
      </c>
      <c r="W540" s="3066" t="s">
        <v>3568</v>
      </c>
      <c r="X540" s="3066">
        <v>2</v>
      </c>
      <c r="Y540" s="3066">
        <v>854.4</v>
      </c>
      <c r="Z540" s="3066" t="s">
        <v>3568</v>
      </c>
      <c r="AA540" s="3066" t="s">
        <v>3560</v>
      </c>
      <c r="AB540" s="3066" t="s">
        <v>3746</v>
      </c>
      <c r="AC540" s="3066" t="s">
        <v>3746</v>
      </c>
      <c r="AD540" s="3066" t="s">
        <v>3746</v>
      </c>
      <c r="AE540" s="3066" t="s">
        <v>3560</v>
      </c>
      <c r="AF540" s="3067">
        <v>712</v>
      </c>
      <c r="AG540" s="3066">
        <v>0</v>
      </c>
      <c r="AH540" s="3066">
        <v>71.2</v>
      </c>
      <c r="AI540" s="3066">
        <v>0</v>
      </c>
      <c r="AJ540" s="3066">
        <v>0</v>
      </c>
      <c r="AK540" s="3066">
        <v>0</v>
      </c>
      <c r="AL540" s="3066">
        <v>783.2</v>
      </c>
      <c r="AM540" s="3066">
        <v>0</v>
      </c>
      <c r="AN540" s="3066" t="s">
        <v>3560</v>
      </c>
      <c r="AP540" s="3068">
        <f t="shared" si="8"/>
        <v>20</v>
      </c>
    </row>
    <row r="541" spans="2:42" ht="27" customHeight="1">
      <c r="B541" s="3066">
        <v>549</v>
      </c>
      <c r="C541" s="3066" t="s">
        <v>5303</v>
      </c>
      <c r="D541" s="3066" t="s">
        <v>4019</v>
      </c>
      <c r="E541" s="3066" t="s">
        <v>5316</v>
      </c>
      <c r="F541" s="3066" t="s">
        <v>3917</v>
      </c>
      <c r="G541" s="3066" t="s">
        <v>1373</v>
      </c>
      <c r="H541" s="3066" t="s">
        <v>3560</v>
      </c>
      <c r="I541" s="3066" t="s">
        <v>3860</v>
      </c>
      <c r="J541" s="3066" t="s">
        <v>3861</v>
      </c>
      <c r="K541" s="3066" t="s">
        <v>3560</v>
      </c>
      <c r="L541" s="3066" t="s">
        <v>3862</v>
      </c>
      <c r="M541" s="3066" t="s">
        <v>5317</v>
      </c>
      <c r="N541" s="3066">
        <v>35.6</v>
      </c>
      <c r="O541" s="3066" t="s">
        <v>3619</v>
      </c>
      <c r="P541" s="3066" t="s">
        <v>3566</v>
      </c>
      <c r="Q541" s="3066">
        <v>1</v>
      </c>
      <c r="R541" s="3066">
        <v>0</v>
      </c>
      <c r="S541" s="3066" t="s">
        <v>3577</v>
      </c>
      <c r="T541" s="3066">
        <v>20</v>
      </c>
      <c r="U541" s="3066">
        <v>712</v>
      </c>
      <c r="V541" s="3066" t="s">
        <v>3560</v>
      </c>
      <c r="W541" s="3066" t="s">
        <v>3568</v>
      </c>
      <c r="X541" s="3066">
        <v>2</v>
      </c>
      <c r="Y541" s="3066">
        <v>854.4</v>
      </c>
      <c r="Z541" s="3066" t="s">
        <v>3568</v>
      </c>
      <c r="AA541" s="3066" t="s">
        <v>3560</v>
      </c>
      <c r="AB541" s="3066" t="s">
        <v>3584</v>
      </c>
      <c r="AC541" s="3066" t="s">
        <v>3584</v>
      </c>
      <c r="AD541" s="3066" t="s">
        <v>3584</v>
      </c>
      <c r="AE541" s="3066" t="s">
        <v>3560</v>
      </c>
      <c r="AF541" s="3067">
        <v>712</v>
      </c>
      <c r="AG541" s="3066">
        <v>712</v>
      </c>
      <c r="AH541" s="3066">
        <v>71.2</v>
      </c>
      <c r="AI541" s="3066">
        <v>71.2</v>
      </c>
      <c r="AJ541" s="3066">
        <v>92.98</v>
      </c>
      <c r="AK541" s="3066">
        <v>92.98</v>
      </c>
      <c r="AL541" s="3066">
        <v>876.18</v>
      </c>
      <c r="AM541" s="3066">
        <v>876.18</v>
      </c>
      <c r="AN541" s="3066" t="s">
        <v>3560</v>
      </c>
      <c r="AP541" s="3068">
        <f t="shared" si="8"/>
        <v>20</v>
      </c>
    </row>
    <row r="542" spans="2:42" ht="27" customHeight="1">
      <c r="B542" s="3066">
        <v>550</v>
      </c>
      <c r="C542" s="3066" t="s">
        <v>5303</v>
      </c>
      <c r="D542" s="3066" t="s">
        <v>4019</v>
      </c>
      <c r="E542" s="3066" t="s">
        <v>5318</v>
      </c>
      <c r="F542" s="3066" t="s">
        <v>3917</v>
      </c>
      <c r="G542" s="3066" t="s">
        <v>1373</v>
      </c>
      <c r="H542" s="3066" t="s">
        <v>3560</v>
      </c>
      <c r="I542" s="3066" t="s">
        <v>3860</v>
      </c>
      <c r="J542" s="3066" t="s">
        <v>3861</v>
      </c>
      <c r="K542" s="3066" t="s">
        <v>3560</v>
      </c>
      <c r="L542" s="3066" t="s">
        <v>3862</v>
      </c>
      <c r="M542" s="3066" t="s">
        <v>5319</v>
      </c>
      <c r="N542" s="3066">
        <v>35.6</v>
      </c>
      <c r="O542" s="3066" t="s">
        <v>3619</v>
      </c>
      <c r="P542" s="3066" t="s">
        <v>3566</v>
      </c>
      <c r="Q542" s="3066">
        <v>1</v>
      </c>
      <c r="R542" s="3066">
        <v>0</v>
      </c>
      <c r="S542" s="3066" t="s">
        <v>3577</v>
      </c>
      <c r="T542" s="3066">
        <v>20</v>
      </c>
      <c r="U542" s="3066">
        <v>712</v>
      </c>
      <c r="V542" s="3066" t="s">
        <v>3560</v>
      </c>
      <c r="W542" s="3066" t="s">
        <v>3568</v>
      </c>
      <c r="X542" s="3066">
        <v>2</v>
      </c>
      <c r="Y542" s="3066">
        <v>854.4</v>
      </c>
      <c r="Z542" s="3066" t="s">
        <v>3568</v>
      </c>
      <c r="AA542" s="3066" t="s">
        <v>3560</v>
      </c>
      <c r="AB542" s="3066" t="s">
        <v>3584</v>
      </c>
      <c r="AC542" s="3066" t="s">
        <v>3584</v>
      </c>
      <c r="AD542" s="3066" t="s">
        <v>3584</v>
      </c>
      <c r="AE542" s="3066" t="s">
        <v>3560</v>
      </c>
      <c r="AF542" s="3067">
        <v>712</v>
      </c>
      <c r="AG542" s="3066">
        <v>712</v>
      </c>
      <c r="AH542" s="3066">
        <v>71.2</v>
      </c>
      <c r="AI542" s="3066">
        <v>71.2</v>
      </c>
      <c r="AJ542" s="3066">
        <v>50.98</v>
      </c>
      <c r="AK542" s="3066">
        <v>50.98</v>
      </c>
      <c r="AL542" s="3066">
        <v>834.18</v>
      </c>
      <c r="AM542" s="3066">
        <v>834.18</v>
      </c>
      <c r="AN542" s="3066" t="s">
        <v>3560</v>
      </c>
      <c r="AP542" s="3068">
        <f t="shared" si="8"/>
        <v>20</v>
      </c>
    </row>
    <row r="543" spans="2:42" ht="27" customHeight="1">
      <c r="B543" s="3066">
        <v>551</v>
      </c>
      <c r="C543" s="3066" t="s">
        <v>5303</v>
      </c>
      <c r="D543" s="3066" t="s">
        <v>4019</v>
      </c>
      <c r="E543" s="3066" t="s">
        <v>5320</v>
      </c>
      <c r="F543" s="3066" t="s">
        <v>3917</v>
      </c>
      <c r="G543" s="3066" t="s">
        <v>1373</v>
      </c>
      <c r="H543" s="3066" t="s">
        <v>3560</v>
      </c>
      <c r="I543" s="3066" t="s">
        <v>3860</v>
      </c>
      <c r="J543" s="3066" t="s">
        <v>3861</v>
      </c>
      <c r="K543" s="3066" t="s">
        <v>3560</v>
      </c>
      <c r="L543" s="3066" t="s">
        <v>3862</v>
      </c>
      <c r="M543" s="3066" t="s">
        <v>5321</v>
      </c>
      <c r="N543" s="3066">
        <v>35.6</v>
      </c>
      <c r="O543" s="3066" t="s">
        <v>3619</v>
      </c>
      <c r="P543" s="3066" t="s">
        <v>3566</v>
      </c>
      <c r="Q543" s="3066">
        <v>1</v>
      </c>
      <c r="R543" s="3066">
        <v>0</v>
      </c>
      <c r="S543" s="3066" t="s">
        <v>3577</v>
      </c>
      <c r="T543" s="3066">
        <v>20</v>
      </c>
      <c r="U543" s="3066">
        <v>712</v>
      </c>
      <c r="V543" s="3066" t="s">
        <v>3560</v>
      </c>
      <c r="W543" s="3066" t="s">
        <v>3568</v>
      </c>
      <c r="X543" s="3066">
        <v>2</v>
      </c>
      <c r="Y543" s="3066">
        <v>854.4</v>
      </c>
      <c r="Z543" s="3066" t="s">
        <v>3568</v>
      </c>
      <c r="AA543" s="3066" t="s">
        <v>3560</v>
      </c>
      <c r="AB543" s="3066" t="s">
        <v>3584</v>
      </c>
      <c r="AC543" s="3066" t="s">
        <v>3584</v>
      </c>
      <c r="AD543" s="3066" t="s">
        <v>3584</v>
      </c>
      <c r="AE543" s="3066" t="s">
        <v>3560</v>
      </c>
      <c r="AF543" s="3067">
        <v>712</v>
      </c>
      <c r="AG543" s="3066">
        <v>712</v>
      </c>
      <c r="AH543" s="3066">
        <v>71.2</v>
      </c>
      <c r="AI543" s="3066">
        <v>71.2</v>
      </c>
      <c r="AJ543" s="3066">
        <v>53.9</v>
      </c>
      <c r="AK543" s="3066">
        <v>53.9</v>
      </c>
      <c r="AL543" s="3066">
        <v>837.1</v>
      </c>
      <c r="AM543" s="3066">
        <v>837.1</v>
      </c>
      <c r="AN543" s="3066" t="s">
        <v>3560</v>
      </c>
      <c r="AP543" s="3068">
        <f t="shared" si="8"/>
        <v>20</v>
      </c>
    </row>
    <row r="544" spans="2:42" ht="27" customHeight="1">
      <c r="B544" s="3066">
        <v>552</v>
      </c>
      <c r="C544" s="3066" t="s">
        <v>5303</v>
      </c>
      <c r="D544" s="3066" t="s">
        <v>4019</v>
      </c>
      <c r="E544" s="3066" t="s">
        <v>5322</v>
      </c>
      <c r="F544" s="3066" t="s">
        <v>3917</v>
      </c>
      <c r="G544" s="3066" t="s">
        <v>1373</v>
      </c>
      <c r="H544" s="3066" t="s">
        <v>3560</v>
      </c>
      <c r="I544" s="3066" t="s">
        <v>5323</v>
      </c>
      <c r="J544" s="3066" t="s">
        <v>3560</v>
      </c>
      <c r="K544" s="3066" t="s">
        <v>3560</v>
      </c>
      <c r="L544" s="3066" t="s">
        <v>5324</v>
      </c>
      <c r="M544" s="3066" t="s">
        <v>5325</v>
      </c>
      <c r="N544" s="3066">
        <v>35.6</v>
      </c>
      <c r="O544" s="3066" t="s">
        <v>3619</v>
      </c>
      <c r="P544" s="3066" t="s">
        <v>3566</v>
      </c>
      <c r="Q544" s="3066">
        <v>1</v>
      </c>
      <c r="R544" s="3066">
        <v>14303</v>
      </c>
      <c r="S544" s="3066" t="s">
        <v>3567</v>
      </c>
      <c r="T544" s="3066">
        <v>20</v>
      </c>
      <c r="U544" s="3066">
        <v>712</v>
      </c>
      <c r="V544" s="3066" t="s">
        <v>3560</v>
      </c>
      <c r="W544" s="3066" t="s">
        <v>3568</v>
      </c>
      <c r="X544" s="3066">
        <v>2.2799999999999998</v>
      </c>
      <c r="Y544" s="3066">
        <v>974.4</v>
      </c>
      <c r="Z544" s="3066" t="s">
        <v>3568</v>
      </c>
      <c r="AA544" s="3066" t="s">
        <v>3560</v>
      </c>
      <c r="AB544" s="3066" t="s">
        <v>3584</v>
      </c>
      <c r="AC544" s="3066" t="s">
        <v>3584</v>
      </c>
      <c r="AD544" s="3066" t="s">
        <v>3584</v>
      </c>
      <c r="AE544" s="3066" t="s">
        <v>3560</v>
      </c>
      <c r="AF544" s="3067">
        <v>712</v>
      </c>
      <c r="AG544" s="3066">
        <v>712</v>
      </c>
      <c r="AH544" s="3066">
        <v>81.2</v>
      </c>
      <c r="AI544" s="3066">
        <v>81.2</v>
      </c>
      <c r="AJ544" s="3066">
        <v>1.19</v>
      </c>
      <c r="AK544" s="3066">
        <v>1.19</v>
      </c>
      <c r="AL544" s="3066">
        <v>794.39</v>
      </c>
      <c r="AM544" s="3066">
        <v>794.39</v>
      </c>
      <c r="AN544" s="3066" t="s">
        <v>3560</v>
      </c>
      <c r="AP544" s="3068">
        <f t="shared" si="8"/>
        <v>20</v>
      </c>
    </row>
    <row r="545" spans="2:42" ht="27" customHeight="1">
      <c r="B545" s="3066">
        <v>553</v>
      </c>
      <c r="C545" s="3066" t="s">
        <v>5303</v>
      </c>
      <c r="D545" s="3066" t="s">
        <v>4019</v>
      </c>
      <c r="E545" s="3066" t="s">
        <v>5326</v>
      </c>
      <c r="F545" s="3066" t="s">
        <v>3917</v>
      </c>
      <c r="G545" s="3066" t="s">
        <v>1373</v>
      </c>
      <c r="H545" s="3066" t="s">
        <v>3560</v>
      </c>
      <c r="I545" s="3066" t="s">
        <v>5323</v>
      </c>
      <c r="J545" s="3066" t="s">
        <v>3560</v>
      </c>
      <c r="K545" s="3066" t="s">
        <v>3560</v>
      </c>
      <c r="L545" s="3066" t="s">
        <v>5324</v>
      </c>
      <c r="M545" s="3066" t="s">
        <v>5327</v>
      </c>
      <c r="N545" s="3066">
        <v>35.6</v>
      </c>
      <c r="O545" s="3066" t="s">
        <v>3619</v>
      </c>
      <c r="P545" s="3066" t="s">
        <v>3566</v>
      </c>
      <c r="Q545" s="3066">
        <v>1</v>
      </c>
      <c r="R545" s="3066">
        <v>0</v>
      </c>
      <c r="S545" s="3066" t="s">
        <v>3577</v>
      </c>
      <c r="T545" s="3066">
        <v>20</v>
      </c>
      <c r="U545" s="3066">
        <v>712</v>
      </c>
      <c r="V545" s="3066" t="s">
        <v>3560</v>
      </c>
      <c r="W545" s="3066" t="s">
        <v>3568</v>
      </c>
      <c r="X545" s="3066">
        <v>2.2799999999999998</v>
      </c>
      <c r="Y545" s="3066">
        <v>974.4</v>
      </c>
      <c r="Z545" s="3066" t="s">
        <v>3568</v>
      </c>
      <c r="AA545" s="3066" t="s">
        <v>3560</v>
      </c>
      <c r="AB545" s="3066" t="s">
        <v>3584</v>
      </c>
      <c r="AC545" s="3066" t="s">
        <v>3584</v>
      </c>
      <c r="AD545" s="3066" t="s">
        <v>3584</v>
      </c>
      <c r="AE545" s="3066" t="s">
        <v>3560</v>
      </c>
      <c r="AF545" s="3067">
        <v>712</v>
      </c>
      <c r="AG545" s="3066">
        <v>712</v>
      </c>
      <c r="AH545" s="3066">
        <v>81.2</v>
      </c>
      <c r="AI545" s="3066">
        <v>81.2</v>
      </c>
      <c r="AJ545" s="3066">
        <v>86.51</v>
      </c>
      <c r="AK545" s="3066">
        <v>86.51</v>
      </c>
      <c r="AL545" s="3066">
        <v>879.71</v>
      </c>
      <c r="AM545" s="3066">
        <v>879.71</v>
      </c>
      <c r="AN545" s="3066" t="s">
        <v>3560</v>
      </c>
      <c r="AP545" s="3068">
        <f t="shared" si="8"/>
        <v>20</v>
      </c>
    </row>
    <row r="546" spans="2:42" ht="27" customHeight="1">
      <c r="B546" s="3066">
        <v>554</v>
      </c>
      <c r="C546" s="3066" t="s">
        <v>5303</v>
      </c>
      <c r="D546" s="3066" t="s">
        <v>4019</v>
      </c>
      <c r="E546" s="3066" t="s">
        <v>5328</v>
      </c>
      <c r="F546" s="3066" t="s">
        <v>3917</v>
      </c>
      <c r="G546" s="3066" t="s">
        <v>1373</v>
      </c>
      <c r="H546" s="3066" t="s">
        <v>3560</v>
      </c>
      <c r="I546" s="3066" t="s">
        <v>5329</v>
      </c>
      <c r="J546" s="3066" t="s">
        <v>5330</v>
      </c>
      <c r="K546" s="3066" t="s">
        <v>3560</v>
      </c>
      <c r="L546" s="3066" t="s">
        <v>5331</v>
      </c>
      <c r="M546" s="3066" t="s">
        <v>5332</v>
      </c>
      <c r="N546" s="3066">
        <v>35.6</v>
      </c>
      <c r="O546" s="3066" t="s">
        <v>3744</v>
      </c>
      <c r="P546" s="3066" t="s">
        <v>3566</v>
      </c>
      <c r="Q546" s="3066">
        <v>1</v>
      </c>
      <c r="R546" s="3066">
        <v>7656</v>
      </c>
      <c r="S546" s="3066" t="s">
        <v>3567</v>
      </c>
      <c r="T546" s="3066">
        <v>20</v>
      </c>
      <c r="U546" s="3066">
        <v>712</v>
      </c>
      <c r="V546" s="3066" t="s">
        <v>3560</v>
      </c>
      <c r="W546" s="3066" t="s">
        <v>3568</v>
      </c>
      <c r="X546" s="3066">
        <v>2</v>
      </c>
      <c r="Y546" s="3066">
        <v>854.4</v>
      </c>
      <c r="Z546" s="3066" t="s">
        <v>3568</v>
      </c>
      <c r="AA546" s="3066" t="s">
        <v>3560</v>
      </c>
      <c r="AB546" s="3066" t="s">
        <v>3746</v>
      </c>
      <c r="AC546" s="3066" t="s">
        <v>3746</v>
      </c>
      <c r="AD546" s="3066" t="s">
        <v>3746</v>
      </c>
      <c r="AE546" s="3066" t="s">
        <v>3560</v>
      </c>
      <c r="AF546" s="3067">
        <v>712</v>
      </c>
      <c r="AG546" s="3066">
        <v>712</v>
      </c>
      <c r="AH546" s="3066">
        <v>71.2</v>
      </c>
      <c r="AI546" s="3066">
        <v>71.2</v>
      </c>
      <c r="AJ546" s="3066">
        <v>33.380000000000003</v>
      </c>
      <c r="AK546" s="3066">
        <v>33.380000000000003</v>
      </c>
      <c r="AL546" s="3066">
        <v>816.58</v>
      </c>
      <c r="AM546" s="3066">
        <v>816.58</v>
      </c>
      <c r="AN546" s="3066" t="s">
        <v>3560</v>
      </c>
      <c r="AP546" s="3068">
        <f t="shared" si="8"/>
        <v>20</v>
      </c>
    </row>
    <row r="547" spans="2:42" ht="27" customHeight="1">
      <c r="B547" s="3066">
        <v>555</v>
      </c>
      <c r="C547" s="3066" t="s">
        <v>5303</v>
      </c>
      <c r="D547" s="3066" t="s">
        <v>4019</v>
      </c>
      <c r="E547" s="3066" t="s">
        <v>5333</v>
      </c>
      <c r="F547" s="3066" t="s">
        <v>3917</v>
      </c>
      <c r="G547" s="3066" t="s">
        <v>1373</v>
      </c>
      <c r="H547" s="3066" t="s">
        <v>3560</v>
      </c>
      <c r="I547" s="3066" t="s">
        <v>5323</v>
      </c>
      <c r="J547" s="3066" t="s">
        <v>3560</v>
      </c>
      <c r="K547" s="3066" t="s">
        <v>3560</v>
      </c>
      <c r="L547" s="3066" t="s">
        <v>5324</v>
      </c>
      <c r="M547" s="3066" t="s">
        <v>5334</v>
      </c>
      <c r="N547" s="3066">
        <v>39.700000000000003</v>
      </c>
      <c r="O547" s="3066" t="s">
        <v>3619</v>
      </c>
      <c r="P547" s="3066" t="s">
        <v>3566</v>
      </c>
      <c r="Q547" s="3066">
        <v>1</v>
      </c>
      <c r="R547" s="3066">
        <v>0</v>
      </c>
      <c r="S547" s="3066" t="s">
        <v>3577</v>
      </c>
      <c r="T547" s="3066">
        <v>20</v>
      </c>
      <c r="U547" s="3066">
        <v>794</v>
      </c>
      <c r="V547" s="3066" t="s">
        <v>3560</v>
      </c>
      <c r="W547" s="3066" t="s">
        <v>3568</v>
      </c>
      <c r="X547" s="3066">
        <v>2.25</v>
      </c>
      <c r="Y547" s="3066">
        <v>1072.8</v>
      </c>
      <c r="Z547" s="3066" t="s">
        <v>3568</v>
      </c>
      <c r="AA547" s="3066" t="s">
        <v>3560</v>
      </c>
      <c r="AB547" s="3066" t="s">
        <v>3584</v>
      </c>
      <c r="AC547" s="3066" t="s">
        <v>3584</v>
      </c>
      <c r="AD547" s="3066" t="s">
        <v>3584</v>
      </c>
      <c r="AE547" s="3066" t="s">
        <v>3560</v>
      </c>
      <c r="AF547" s="3067">
        <v>794</v>
      </c>
      <c r="AG547" s="3066">
        <v>794</v>
      </c>
      <c r="AH547" s="3066">
        <v>89.4</v>
      </c>
      <c r="AI547" s="3066">
        <v>89.4</v>
      </c>
      <c r="AJ547" s="3066">
        <v>194.53</v>
      </c>
      <c r="AK547" s="3066">
        <v>194.53</v>
      </c>
      <c r="AL547" s="3066">
        <v>1077.93</v>
      </c>
      <c r="AM547" s="3066">
        <v>1077.93</v>
      </c>
      <c r="AN547" s="3066" t="s">
        <v>3560</v>
      </c>
      <c r="AP547" s="3068">
        <f t="shared" si="8"/>
        <v>20</v>
      </c>
    </row>
    <row r="548" spans="2:42" ht="27" customHeight="1">
      <c r="B548" s="3066">
        <v>556</v>
      </c>
      <c r="C548" s="3066" t="s">
        <v>5303</v>
      </c>
      <c r="D548" s="3066" t="s">
        <v>4053</v>
      </c>
      <c r="E548" s="3066" t="s">
        <v>5335</v>
      </c>
      <c r="F548" s="3066" t="s">
        <v>3917</v>
      </c>
      <c r="G548" s="3066" t="s">
        <v>1373</v>
      </c>
      <c r="H548" s="3066" t="s">
        <v>3560</v>
      </c>
      <c r="I548" s="3066" t="s">
        <v>3650</v>
      </c>
      <c r="J548" s="3066" t="s">
        <v>3651</v>
      </c>
      <c r="K548" s="3066" t="s">
        <v>3560</v>
      </c>
      <c r="L548" s="3066" t="s">
        <v>3652</v>
      </c>
      <c r="M548" s="3066" t="s">
        <v>5336</v>
      </c>
      <c r="N548" s="3066">
        <v>35.6</v>
      </c>
      <c r="O548" s="3066" t="s">
        <v>3619</v>
      </c>
      <c r="P548" s="3066" t="s">
        <v>3566</v>
      </c>
      <c r="Q548" s="3066">
        <v>1</v>
      </c>
      <c r="R548" s="3066">
        <v>3577.8</v>
      </c>
      <c r="S548" s="3066" t="s">
        <v>3567</v>
      </c>
      <c r="T548" s="3066">
        <v>20</v>
      </c>
      <c r="U548" s="3066">
        <v>716</v>
      </c>
      <c r="V548" s="3066" t="s">
        <v>3560</v>
      </c>
      <c r="W548" s="3066" t="s">
        <v>3568</v>
      </c>
      <c r="X548" s="3066">
        <v>2</v>
      </c>
      <c r="Y548" s="3066">
        <v>859.2</v>
      </c>
      <c r="Z548" s="3066" t="s">
        <v>3568</v>
      </c>
      <c r="AA548" s="3066" t="s">
        <v>3560</v>
      </c>
      <c r="AB548" s="3066" t="s">
        <v>3584</v>
      </c>
      <c r="AC548" s="3066" t="s">
        <v>3584</v>
      </c>
      <c r="AD548" s="3066" t="s">
        <v>3584</v>
      </c>
      <c r="AE548" s="3066" t="s">
        <v>3560</v>
      </c>
      <c r="AF548" s="3067">
        <v>712</v>
      </c>
      <c r="AG548" s="3066">
        <v>0</v>
      </c>
      <c r="AH548" s="3066">
        <v>71.2</v>
      </c>
      <c r="AI548" s="3066">
        <v>0</v>
      </c>
      <c r="AJ548" s="3066">
        <v>31.1</v>
      </c>
      <c r="AK548" s="3066">
        <v>0</v>
      </c>
      <c r="AL548" s="3066">
        <v>814.3</v>
      </c>
      <c r="AM548" s="3066">
        <v>0</v>
      </c>
      <c r="AN548" s="3066" t="s">
        <v>3560</v>
      </c>
      <c r="AP548" s="3068">
        <f t="shared" si="8"/>
        <v>20</v>
      </c>
    </row>
    <row r="549" spans="2:42" ht="27" customHeight="1">
      <c r="B549" s="3066">
        <v>557</v>
      </c>
      <c r="C549" s="3066" t="s">
        <v>5303</v>
      </c>
      <c r="D549" s="3066" t="s">
        <v>4053</v>
      </c>
      <c r="E549" s="3066" t="s">
        <v>5337</v>
      </c>
      <c r="F549" s="3066" t="s">
        <v>3917</v>
      </c>
      <c r="G549" s="3066" t="s">
        <v>1373</v>
      </c>
      <c r="H549" s="3066" t="s">
        <v>3560</v>
      </c>
      <c r="I549" s="3066" t="s">
        <v>3650</v>
      </c>
      <c r="J549" s="3066" t="s">
        <v>3651</v>
      </c>
      <c r="K549" s="3066" t="s">
        <v>3560</v>
      </c>
      <c r="L549" s="3066" t="s">
        <v>3652</v>
      </c>
      <c r="M549" s="3066" t="s">
        <v>5338</v>
      </c>
      <c r="N549" s="3066">
        <v>35.6</v>
      </c>
      <c r="O549" s="3066" t="s">
        <v>3619</v>
      </c>
      <c r="P549" s="3066" t="s">
        <v>3566</v>
      </c>
      <c r="Q549" s="3066">
        <v>1</v>
      </c>
      <c r="R549" s="3066">
        <v>0</v>
      </c>
      <c r="S549" s="3066" t="s">
        <v>3577</v>
      </c>
      <c r="T549" s="3066">
        <v>20</v>
      </c>
      <c r="U549" s="3066">
        <v>712</v>
      </c>
      <c r="V549" s="3066" t="s">
        <v>3560</v>
      </c>
      <c r="W549" s="3066" t="s">
        <v>3568</v>
      </c>
      <c r="X549" s="3066">
        <v>2</v>
      </c>
      <c r="Y549" s="3066">
        <v>854.4</v>
      </c>
      <c r="Z549" s="3066" t="s">
        <v>3568</v>
      </c>
      <c r="AA549" s="3066" t="s">
        <v>3560</v>
      </c>
      <c r="AB549" s="3066" t="s">
        <v>3584</v>
      </c>
      <c r="AC549" s="3066" t="s">
        <v>3584</v>
      </c>
      <c r="AD549" s="3066" t="s">
        <v>3584</v>
      </c>
      <c r="AE549" s="3066" t="s">
        <v>3560</v>
      </c>
      <c r="AF549" s="3067">
        <v>712</v>
      </c>
      <c r="AG549" s="3066">
        <v>0</v>
      </c>
      <c r="AH549" s="3066">
        <v>71.2</v>
      </c>
      <c r="AI549" s="3066">
        <v>0</v>
      </c>
      <c r="AJ549" s="3066">
        <v>60.26</v>
      </c>
      <c r="AK549" s="3066">
        <v>0</v>
      </c>
      <c r="AL549" s="3066">
        <v>843.46</v>
      </c>
      <c r="AM549" s="3066">
        <v>0</v>
      </c>
      <c r="AN549" s="3066" t="s">
        <v>3560</v>
      </c>
      <c r="AP549" s="3068">
        <f t="shared" si="8"/>
        <v>20</v>
      </c>
    </row>
    <row r="550" spans="2:42" ht="27" customHeight="1">
      <c r="B550" s="3066">
        <v>558</v>
      </c>
      <c r="C550" s="3066" t="s">
        <v>5303</v>
      </c>
      <c r="D550" s="3066" t="s">
        <v>4053</v>
      </c>
      <c r="E550" s="3066" t="s">
        <v>5339</v>
      </c>
      <c r="F550" s="3066" t="s">
        <v>3917</v>
      </c>
      <c r="G550" s="3066" t="s">
        <v>1373</v>
      </c>
      <c r="H550" s="3066" t="s">
        <v>3560</v>
      </c>
      <c r="I550" s="3066" t="s">
        <v>3650</v>
      </c>
      <c r="J550" s="3066" t="s">
        <v>3651</v>
      </c>
      <c r="K550" s="3066" t="s">
        <v>3560</v>
      </c>
      <c r="L550" s="3066" t="s">
        <v>3652</v>
      </c>
      <c r="M550" s="3066" t="s">
        <v>5340</v>
      </c>
      <c r="N550" s="3066">
        <v>35.6</v>
      </c>
      <c r="O550" s="3066" t="s">
        <v>3619</v>
      </c>
      <c r="P550" s="3066" t="s">
        <v>3566</v>
      </c>
      <c r="Q550" s="3066">
        <v>1</v>
      </c>
      <c r="R550" s="3066">
        <v>0</v>
      </c>
      <c r="S550" s="3066" t="s">
        <v>3577</v>
      </c>
      <c r="T550" s="3066">
        <v>20</v>
      </c>
      <c r="U550" s="3066">
        <v>712</v>
      </c>
      <c r="V550" s="3066" t="s">
        <v>3560</v>
      </c>
      <c r="W550" s="3066" t="s">
        <v>3568</v>
      </c>
      <c r="X550" s="3066">
        <v>2</v>
      </c>
      <c r="Y550" s="3066">
        <v>854.4</v>
      </c>
      <c r="Z550" s="3066" t="s">
        <v>3568</v>
      </c>
      <c r="AA550" s="3066" t="s">
        <v>3560</v>
      </c>
      <c r="AB550" s="3066" t="s">
        <v>3584</v>
      </c>
      <c r="AC550" s="3066" t="s">
        <v>3584</v>
      </c>
      <c r="AD550" s="3066" t="s">
        <v>3584</v>
      </c>
      <c r="AE550" s="3066" t="s">
        <v>3560</v>
      </c>
      <c r="AF550" s="3067">
        <v>712</v>
      </c>
      <c r="AG550" s="3066">
        <v>0</v>
      </c>
      <c r="AH550" s="3066">
        <v>71.2</v>
      </c>
      <c r="AI550" s="3066">
        <v>0</v>
      </c>
      <c r="AJ550" s="3066">
        <v>53.43</v>
      </c>
      <c r="AK550" s="3066">
        <v>0</v>
      </c>
      <c r="AL550" s="3066">
        <v>836.63</v>
      </c>
      <c r="AM550" s="3066">
        <v>0</v>
      </c>
      <c r="AN550" s="3066" t="s">
        <v>3560</v>
      </c>
      <c r="AP550" s="3068">
        <f t="shared" si="8"/>
        <v>20</v>
      </c>
    </row>
    <row r="551" spans="2:42" ht="27" customHeight="1">
      <c r="B551" s="3066">
        <v>559</v>
      </c>
      <c r="C551" s="3066" t="s">
        <v>5303</v>
      </c>
      <c r="D551" s="3066" t="s">
        <v>4053</v>
      </c>
      <c r="E551" s="3066" t="s">
        <v>5341</v>
      </c>
      <c r="F551" s="3066" t="s">
        <v>3917</v>
      </c>
      <c r="G551" s="3066" t="s">
        <v>1373</v>
      </c>
      <c r="H551" s="3066" t="s">
        <v>3560</v>
      </c>
      <c r="I551" s="3066" t="s">
        <v>3650</v>
      </c>
      <c r="J551" s="3066" t="s">
        <v>3651</v>
      </c>
      <c r="K551" s="3066" t="s">
        <v>3560</v>
      </c>
      <c r="L551" s="3066" t="s">
        <v>3652</v>
      </c>
      <c r="M551" s="3066" t="s">
        <v>5342</v>
      </c>
      <c r="N551" s="3066">
        <v>35.6</v>
      </c>
      <c r="O551" s="3066" t="s">
        <v>3619</v>
      </c>
      <c r="P551" s="3066" t="s">
        <v>3566</v>
      </c>
      <c r="Q551" s="3066">
        <v>1</v>
      </c>
      <c r="R551" s="3066">
        <v>0</v>
      </c>
      <c r="S551" s="3066" t="s">
        <v>3577</v>
      </c>
      <c r="T551" s="3066">
        <v>20</v>
      </c>
      <c r="U551" s="3066">
        <v>712</v>
      </c>
      <c r="V551" s="3066" t="s">
        <v>3560</v>
      </c>
      <c r="W551" s="3066" t="s">
        <v>3568</v>
      </c>
      <c r="X551" s="3066">
        <v>2</v>
      </c>
      <c r="Y551" s="3066">
        <v>854.4</v>
      </c>
      <c r="Z551" s="3066" t="s">
        <v>3568</v>
      </c>
      <c r="AA551" s="3066" t="s">
        <v>3560</v>
      </c>
      <c r="AB551" s="3066" t="s">
        <v>3584</v>
      </c>
      <c r="AC551" s="3066" t="s">
        <v>3584</v>
      </c>
      <c r="AD551" s="3066" t="s">
        <v>3584</v>
      </c>
      <c r="AE551" s="3066" t="s">
        <v>3560</v>
      </c>
      <c r="AF551" s="3067">
        <v>712</v>
      </c>
      <c r="AG551" s="3066">
        <v>0</v>
      </c>
      <c r="AH551" s="3066">
        <v>71.2</v>
      </c>
      <c r="AI551" s="3066">
        <v>0</v>
      </c>
      <c r="AJ551" s="3066">
        <v>86.98</v>
      </c>
      <c r="AK551" s="3066">
        <v>0</v>
      </c>
      <c r="AL551" s="3066">
        <v>870.18</v>
      </c>
      <c r="AM551" s="3066">
        <v>0</v>
      </c>
      <c r="AN551" s="3066" t="s">
        <v>3560</v>
      </c>
      <c r="AP551" s="3068">
        <f t="shared" si="8"/>
        <v>20</v>
      </c>
    </row>
    <row r="552" spans="2:42" ht="27" customHeight="1">
      <c r="B552" s="3066">
        <v>560</v>
      </c>
      <c r="C552" s="3066" t="s">
        <v>5303</v>
      </c>
      <c r="D552" s="3066" t="s">
        <v>4053</v>
      </c>
      <c r="E552" s="3066" t="s">
        <v>5343</v>
      </c>
      <c r="F552" s="3066" t="s">
        <v>3917</v>
      </c>
      <c r="G552" s="3066" t="s">
        <v>1373</v>
      </c>
      <c r="H552" s="3066" t="s">
        <v>3560</v>
      </c>
      <c r="I552" s="3066" t="s">
        <v>3650</v>
      </c>
      <c r="J552" s="3066" t="s">
        <v>3651</v>
      </c>
      <c r="K552" s="3066" t="s">
        <v>3560</v>
      </c>
      <c r="L552" s="3066" t="s">
        <v>3652</v>
      </c>
      <c r="M552" s="3066" t="s">
        <v>5344</v>
      </c>
      <c r="N552" s="3066">
        <v>35.6</v>
      </c>
      <c r="O552" s="3066" t="s">
        <v>3619</v>
      </c>
      <c r="P552" s="3066" t="s">
        <v>3566</v>
      </c>
      <c r="Q552" s="3066">
        <v>1</v>
      </c>
      <c r="R552" s="3066">
        <v>0</v>
      </c>
      <c r="S552" s="3066" t="s">
        <v>3577</v>
      </c>
      <c r="T552" s="3066">
        <v>20</v>
      </c>
      <c r="U552" s="3066">
        <v>712</v>
      </c>
      <c r="V552" s="3066" t="s">
        <v>3560</v>
      </c>
      <c r="W552" s="3066" t="s">
        <v>3568</v>
      </c>
      <c r="X552" s="3066">
        <v>2</v>
      </c>
      <c r="Y552" s="3066">
        <v>854.4</v>
      </c>
      <c r="Z552" s="3066" t="s">
        <v>3568</v>
      </c>
      <c r="AA552" s="3066" t="s">
        <v>3560</v>
      </c>
      <c r="AB552" s="3066" t="s">
        <v>3584</v>
      </c>
      <c r="AC552" s="3066" t="s">
        <v>3584</v>
      </c>
      <c r="AD552" s="3066" t="s">
        <v>3584</v>
      </c>
      <c r="AE552" s="3066" t="s">
        <v>3560</v>
      </c>
      <c r="AF552" s="3067">
        <v>712</v>
      </c>
      <c r="AG552" s="3066">
        <v>0</v>
      </c>
      <c r="AH552" s="3066">
        <v>71.2</v>
      </c>
      <c r="AI552" s="3066">
        <v>0</v>
      </c>
      <c r="AJ552" s="3066">
        <v>15.96</v>
      </c>
      <c r="AK552" s="3066">
        <v>0</v>
      </c>
      <c r="AL552" s="3066">
        <v>799.16</v>
      </c>
      <c r="AM552" s="3066">
        <v>0</v>
      </c>
      <c r="AN552" s="3066" t="s">
        <v>3560</v>
      </c>
      <c r="AP552" s="3068">
        <f t="shared" si="8"/>
        <v>20</v>
      </c>
    </row>
    <row r="553" spans="2:42" ht="27" customHeight="1">
      <c r="B553" s="3066">
        <v>561</v>
      </c>
      <c r="C553" s="3066" t="s">
        <v>5303</v>
      </c>
      <c r="D553" s="3066" t="s">
        <v>4053</v>
      </c>
      <c r="E553" s="3066" t="s">
        <v>5345</v>
      </c>
      <c r="F553" s="3066" t="s">
        <v>3917</v>
      </c>
      <c r="G553" s="3066" t="s">
        <v>1373</v>
      </c>
      <c r="H553" s="3066" t="s">
        <v>3560</v>
      </c>
      <c r="I553" s="3066" t="s">
        <v>3650</v>
      </c>
      <c r="J553" s="3066" t="s">
        <v>3651</v>
      </c>
      <c r="K553" s="3066" t="s">
        <v>3560</v>
      </c>
      <c r="L553" s="3066" t="s">
        <v>3652</v>
      </c>
      <c r="M553" s="3066" t="s">
        <v>5346</v>
      </c>
      <c r="N553" s="3066">
        <v>35.6</v>
      </c>
      <c r="O553" s="3066" t="s">
        <v>3619</v>
      </c>
      <c r="P553" s="3066" t="s">
        <v>3566</v>
      </c>
      <c r="Q553" s="3066">
        <v>1</v>
      </c>
      <c r="R553" s="3066">
        <v>0</v>
      </c>
      <c r="S553" s="3066" t="s">
        <v>3577</v>
      </c>
      <c r="T553" s="3066">
        <v>20</v>
      </c>
      <c r="U553" s="3066">
        <v>712</v>
      </c>
      <c r="V553" s="3066" t="s">
        <v>3560</v>
      </c>
      <c r="W553" s="3066" t="s">
        <v>3568</v>
      </c>
      <c r="X553" s="3066">
        <v>2</v>
      </c>
      <c r="Y553" s="3066">
        <v>854.4</v>
      </c>
      <c r="Z553" s="3066" t="s">
        <v>3568</v>
      </c>
      <c r="AA553" s="3066" t="s">
        <v>3560</v>
      </c>
      <c r="AB553" s="3066" t="s">
        <v>3584</v>
      </c>
      <c r="AC553" s="3066" t="s">
        <v>3584</v>
      </c>
      <c r="AD553" s="3066" t="s">
        <v>3584</v>
      </c>
      <c r="AE553" s="3066" t="s">
        <v>3560</v>
      </c>
      <c r="AF553" s="3067">
        <v>712</v>
      </c>
      <c r="AG553" s="3066">
        <v>0</v>
      </c>
      <c r="AH553" s="3066">
        <v>71.2</v>
      </c>
      <c r="AI553" s="3066">
        <v>0</v>
      </c>
      <c r="AJ553" s="3066">
        <v>79.34</v>
      </c>
      <c r="AK553" s="3066">
        <v>0</v>
      </c>
      <c r="AL553" s="3066">
        <v>862.54</v>
      </c>
      <c r="AM553" s="3066">
        <v>0</v>
      </c>
      <c r="AN553" s="3066" t="s">
        <v>3560</v>
      </c>
      <c r="AP553" s="3068">
        <f t="shared" si="8"/>
        <v>20</v>
      </c>
    </row>
    <row r="554" spans="2:42" ht="27" customHeight="1">
      <c r="B554" s="3066">
        <v>562</v>
      </c>
      <c r="C554" s="3066" t="s">
        <v>5303</v>
      </c>
      <c r="D554" s="3066" t="s">
        <v>4053</v>
      </c>
      <c r="E554" s="3066" t="s">
        <v>5347</v>
      </c>
      <c r="F554" s="3066" t="s">
        <v>3917</v>
      </c>
      <c r="G554" s="3066" t="s">
        <v>1373</v>
      </c>
      <c r="H554" s="3066" t="s">
        <v>3560</v>
      </c>
      <c r="I554" s="3066" t="s">
        <v>3650</v>
      </c>
      <c r="J554" s="3066" t="s">
        <v>3651</v>
      </c>
      <c r="K554" s="3066" t="s">
        <v>3560</v>
      </c>
      <c r="L554" s="3066" t="s">
        <v>3652</v>
      </c>
      <c r="M554" s="3066" t="s">
        <v>5348</v>
      </c>
      <c r="N554" s="3066">
        <v>35.6</v>
      </c>
      <c r="O554" s="3066" t="s">
        <v>3619</v>
      </c>
      <c r="P554" s="3066" t="s">
        <v>3566</v>
      </c>
      <c r="Q554" s="3066">
        <v>1</v>
      </c>
      <c r="R554" s="3066">
        <v>0</v>
      </c>
      <c r="S554" s="3066" t="s">
        <v>3577</v>
      </c>
      <c r="T554" s="3066">
        <v>20</v>
      </c>
      <c r="U554" s="3066">
        <v>712</v>
      </c>
      <c r="V554" s="3066" t="s">
        <v>3560</v>
      </c>
      <c r="W554" s="3066" t="s">
        <v>3568</v>
      </c>
      <c r="X554" s="3066">
        <v>2</v>
      </c>
      <c r="Y554" s="3066">
        <v>854.4</v>
      </c>
      <c r="Z554" s="3066" t="s">
        <v>3568</v>
      </c>
      <c r="AA554" s="3066" t="s">
        <v>3560</v>
      </c>
      <c r="AB554" s="3066" t="s">
        <v>3584</v>
      </c>
      <c r="AC554" s="3066" t="s">
        <v>3584</v>
      </c>
      <c r="AD554" s="3066" t="s">
        <v>3584</v>
      </c>
      <c r="AE554" s="3066" t="s">
        <v>3560</v>
      </c>
      <c r="AF554" s="3067">
        <v>712</v>
      </c>
      <c r="AG554" s="3066">
        <v>0</v>
      </c>
      <c r="AH554" s="3066">
        <v>71.2</v>
      </c>
      <c r="AI554" s="3066">
        <v>0</v>
      </c>
      <c r="AJ554" s="3066">
        <v>71.33</v>
      </c>
      <c r="AK554" s="3066">
        <v>0</v>
      </c>
      <c r="AL554" s="3066">
        <v>854.53</v>
      </c>
      <c r="AM554" s="3066">
        <v>0</v>
      </c>
      <c r="AN554" s="3066" t="s">
        <v>3560</v>
      </c>
      <c r="AP554" s="3068">
        <f t="shared" si="8"/>
        <v>20</v>
      </c>
    </row>
    <row r="555" spans="2:42" ht="27" customHeight="1">
      <c r="B555" s="3066">
        <v>563</v>
      </c>
      <c r="C555" s="3066" t="s">
        <v>5303</v>
      </c>
      <c r="D555" s="3066" t="s">
        <v>4053</v>
      </c>
      <c r="E555" s="3066" t="s">
        <v>5349</v>
      </c>
      <c r="F555" s="3066" t="s">
        <v>3917</v>
      </c>
      <c r="G555" s="3066" t="s">
        <v>1373</v>
      </c>
      <c r="H555" s="3066" t="s">
        <v>3560</v>
      </c>
      <c r="I555" s="3066" t="s">
        <v>3650</v>
      </c>
      <c r="J555" s="3066" t="s">
        <v>3651</v>
      </c>
      <c r="K555" s="3066" t="s">
        <v>3560</v>
      </c>
      <c r="L555" s="3066" t="s">
        <v>3652</v>
      </c>
      <c r="M555" s="3066" t="s">
        <v>5350</v>
      </c>
      <c r="N555" s="3066">
        <v>35.6</v>
      </c>
      <c r="O555" s="3066" t="s">
        <v>3619</v>
      </c>
      <c r="P555" s="3066" t="s">
        <v>3566</v>
      </c>
      <c r="Q555" s="3066">
        <v>1</v>
      </c>
      <c r="R555" s="3066">
        <v>0</v>
      </c>
      <c r="S555" s="3066" t="s">
        <v>3577</v>
      </c>
      <c r="T555" s="3066">
        <v>20</v>
      </c>
      <c r="U555" s="3066">
        <v>712</v>
      </c>
      <c r="V555" s="3066" t="s">
        <v>3560</v>
      </c>
      <c r="W555" s="3066" t="s">
        <v>3568</v>
      </c>
      <c r="X555" s="3066">
        <v>2</v>
      </c>
      <c r="Y555" s="3066">
        <v>854.4</v>
      </c>
      <c r="Z555" s="3066" t="s">
        <v>3568</v>
      </c>
      <c r="AA555" s="3066" t="s">
        <v>3560</v>
      </c>
      <c r="AB555" s="3066" t="s">
        <v>3584</v>
      </c>
      <c r="AC555" s="3066" t="s">
        <v>3584</v>
      </c>
      <c r="AD555" s="3066" t="s">
        <v>3584</v>
      </c>
      <c r="AE555" s="3066" t="s">
        <v>3560</v>
      </c>
      <c r="AF555" s="3067">
        <v>712</v>
      </c>
      <c r="AG555" s="3066">
        <v>0</v>
      </c>
      <c r="AH555" s="3066">
        <v>71.2</v>
      </c>
      <c r="AI555" s="3066">
        <v>0</v>
      </c>
      <c r="AJ555" s="3066">
        <v>64.66</v>
      </c>
      <c r="AK555" s="3066">
        <v>0</v>
      </c>
      <c r="AL555" s="3066">
        <v>847.86</v>
      </c>
      <c r="AM555" s="3066">
        <v>0</v>
      </c>
      <c r="AN555" s="3066" t="s">
        <v>3560</v>
      </c>
      <c r="AP555" s="3068">
        <f t="shared" si="8"/>
        <v>20</v>
      </c>
    </row>
    <row r="556" spans="2:42" ht="27" customHeight="1">
      <c r="B556" s="3066">
        <v>564</v>
      </c>
      <c r="C556" s="3066" t="s">
        <v>5303</v>
      </c>
      <c r="D556" s="3066" t="s">
        <v>4053</v>
      </c>
      <c r="E556" s="3066" t="s">
        <v>5351</v>
      </c>
      <c r="F556" s="3066" t="s">
        <v>3917</v>
      </c>
      <c r="G556" s="3066" t="s">
        <v>1373</v>
      </c>
      <c r="H556" s="3066" t="s">
        <v>3560</v>
      </c>
      <c r="I556" s="3066" t="s">
        <v>3827</v>
      </c>
      <c r="J556" s="3066" t="s">
        <v>3828</v>
      </c>
      <c r="K556" s="3066" t="s">
        <v>3560</v>
      </c>
      <c r="L556" s="3066" t="s">
        <v>3829</v>
      </c>
      <c r="M556" s="3066" t="s">
        <v>5352</v>
      </c>
      <c r="N556" s="3066">
        <v>35.6</v>
      </c>
      <c r="O556" s="3066" t="s">
        <v>3619</v>
      </c>
      <c r="P556" s="3066" t="s">
        <v>3566</v>
      </c>
      <c r="Q556" s="3066">
        <v>1</v>
      </c>
      <c r="R556" s="3066">
        <v>1342.8</v>
      </c>
      <c r="S556" s="3066" t="s">
        <v>3567</v>
      </c>
      <c r="T556" s="3066">
        <v>20</v>
      </c>
      <c r="U556" s="3066">
        <v>712</v>
      </c>
      <c r="V556" s="3066" t="s">
        <v>3560</v>
      </c>
      <c r="W556" s="3066" t="s">
        <v>3568</v>
      </c>
      <c r="X556" s="3066">
        <v>2</v>
      </c>
      <c r="Y556" s="3066">
        <v>854.4</v>
      </c>
      <c r="Z556" s="3066" t="s">
        <v>3568</v>
      </c>
      <c r="AA556" s="3066" t="s">
        <v>3560</v>
      </c>
      <c r="AB556" s="3066" t="s">
        <v>3584</v>
      </c>
      <c r="AC556" s="3066" t="s">
        <v>3584</v>
      </c>
      <c r="AD556" s="3066" t="s">
        <v>3584</v>
      </c>
      <c r="AE556" s="3066" t="s">
        <v>3560</v>
      </c>
      <c r="AF556" s="3067">
        <v>712</v>
      </c>
      <c r="AG556" s="3066">
        <v>712</v>
      </c>
      <c r="AH556" s="3066">
        <v>71.2</v>
      </c>
      <c r="AI556" s="3066">
        <v>71.2</v>
      </c>
      <c r="AJ556" s="3066">
        <v>52.93</v>
      </c>
      <c r="AK556" s="3066">
        <v>52.93</v>
      </c>
      <c r="AL556" s="3066">
        <v>836.13</v>
      </c>
      <c r="AM556" s="3066">
        <v>836.13</v>
      </c>
      <c r="AN556" s="3066" t="s">
        <v>3560</v>
      </c>
      <c r="AP556" s="3068">
        <f t="shared" si="8"/>
        <v>20</v>
      </c>
    </row>
    <row r="557" spans="2:42" ht="27" customHeight="1">
      <c r="B557" s="3066">
        <v>565</v>
      </c>
      <c r="C557" s="3066" t="s">
        <v>5303</v>
      </c>
      <c r="D557" s="3066" t="s">
        <v>4053</v>
      </c>
      <c r="E557" s="3066" t="s">
        <v>5353</v>
      </c>
      <c r="F557" s="3066" t="s">
        <v>3917</v>
      </c>
      <c r="G557" s="3066" t="s">
        <v>1373</v>
      </c>
      <c r="H557" s="3066" t="s">
        <v>3560</v>
      </c>
      <c r="I557" s="3066" t="s">
        <v>3827</v>
      </c>
      <c r="J557" s="3066" t="s">
        <v>3828</v>
      </c>
      <c r="K557" s="3066" t="s">
        <v>3560</v>
      </c>
      <c r="L557" s="3066" t="s">
        <v>3829</v>
      </c>
      <c r="M557" s="3066" t="s">
        <v>5354</v>
      </c>
      <c r="N557" s="3066">
        <v>35.6</v>
      </c>
      <c r="O557" s="3066" t="s">
        <v>3619</v>
      </c>
      <c r="P557" s="3066" t="s">
        <v>3566</v>
      </c>
      <c r="Q557" s="3066">
        <v>1</v>
      </c>
      <c r="R557" s="3066">
        <v>0</v>
      </c>
      <c r="S557" s="3066" t="s">
        <v>3577</v>
      </c>
      <c r="T557" s="3066">
        <v>20</v>
      </c>
      <c r="U557" s="3066">
        <v>712</v>
      </c>
      <c r="V557" s="3066" t="s">
        <v>3560</v>
      </c>
      <c r="W557" s="3066" t="s">
        <v>3568</v>
      </c>
      <c r="X557" s="3066">
        <v>2</v>
      </c>
      <c r="Y557" s="3066">
        <v>854.4</v>
      </c>
      <c r="Z557" s="3066" t="s">
        <v>3568</v>
      </c>
      <c r="AA557" s="3066" t="s">
        <v>3560</v>
      </c>
      <c r="AB557" s="3066" t="s">
        <v>3584</v>
      </c>
      <c r="AC557" s="3066" t="s">
        <v>3584</v>
      </c>
      <c r="AD557" s="3066" t="s">
        <v>3584</v>
      </c>
      <c r="AE557" s="3066" t="s">
        <v>3560</v>
      </c>
      <c r="AF557" s="3067">
        <v>712</v>
      </c>
      <c r="AG557" s="3066">
        <v>712</v>
      </c>
      <c r="AH557" s="3066">
        <v>71.2</v>
      </c>
      <c r="AI557" s="3066">
        <v>71.2</v>
      </c>
      <c r="AJ557" s="3066">
        <v>182.05</v>
      </c>
      <c r="AK557" s="3066">
        <v>182.05</v>
      </c>
      <c r="AL557" s="3066">
        <v>965.25</v>
      </c>
      <c r="AM557" s="3066">
        <v>965.25</v>
      </c>
      <c r="AN557" s="3066" t="s">
        <v>3560</v>
      </c>
      <c r="AP557" s="3068">
        <f t="shared" si="8"/>
        <v>20</v>
      </c>
    </row>
    <row r="558" spans="2:42" ht="27" customHeight="1">
      <c r="B558" s="3066">
        <v>566</v>
      </c>
      <c r="C558" s="3066" t="s">
        <v>5303</v>
      </c>
      <c r="D558" s="3066" t="s">
        <v>4053</v>
      </c>
      <c r="E558" s="3066" t="s">
        <v>5355</v>
      </c>
      <c r="F558" s="3066" t="s">
        <v>3917</v>
      </c>
      <c r="G558" s="3066" t="s">
        <v>1373</v>
      </c>
      <c r="H558" s="3066" t="s">
        <v>3560</v>
      </c>
      <c r="I558" s="3066" t="s">
        <v>3827</v>
      </c>
      <c r="J558" s="3066" t="s">
        <v>3828</v>
      </c>
      <c r="K558" s="3066" t="s">
        <v>3560</v>
      </c>
      <c r="L558" s="3066" t="s">
        <v>3829</v>
      </c>
      <c r="M558" s="3066" t="s">
        <v>5356</v>
      </c>
      <c r="N558" s="3066">
        <v>35.6</v>
      </c>
      <c r="O558" s="3066" t="s">
        <v>3619</v>
      </c>
      <c r="P558" s="3066" t="s">
        <v>3566</v>
      </c>
      <c r="Q558" s="3066">
        <v>1</v>
      </c>
      <c r="R558" s="3066">
        <v>0</v>
      </c>
      <c r="S558" s="3066" t="s">
        <v>3577</v>
      </c>
      <c r="T558" s="3066">
        <v>20</v>
      </c>
      <c r="U558" s="3066">
        <v>712</v>
      </c>
      <c r="V558" s="3066" t="s">
        <v>3560</v>
      </c>
      <c r="W558" s="3066" t="s">
        <v>3568</v>
      </c>
      <c r="X558" s="3066">
        <v>2</v>
      </c>
      <c r="Y558" s="3066">
        <v>854.4</v>
      </c>
      <c r="Z558" s="3066" t="s">
        <v>3568</v>
      </c>
      <c r="AA558" s="3066" t="s">
        <v>3560</v>
      </c>
      <c r="AB558" s="3066" t="s">
        <v>3584</v>
      </c>
      <c r="AC558" s="3066" t="s">
        <v>3584</v>
      </c>
      <c r="AD558" s="3066" t="s">
        <v>3584</v>
      </c>
      <c r="AE558" s="3066" t="s">
        <v>3560</v>
      </c>
      <c r="AF558" s="3067">
        <v>712</v>
      </c>
      <c r="AG558" s="3066">
        <v>712</v>
      </c>
      <c r="AH558" s="3066">
        <v>71.2</v>
      </c>
      <c r="AI558" s="3066">
        <v>71.2</v>
      </c>
      <c r="AJ558" s="3066">
        <v>82.12</v>
      </c>
      <c r="AK558" s="3066">
        <v>82.12</v>
      </c>
      <c r="AL558" s="3066">
        <v>865.32</v>
      </c>
      <c r="AM558" s="3066">
        <v>865.32</v>
      </c>
      <c r="AN558" s="3066" t="s">
        <v>3560</v>
      </c>
      <c r="AP558" s="3068">
        <f t="shared" si="8"/>
        <v>20</v>
      </c>
    </row>
    <row r="559" spans="2:42" ht="27" customHeight="1">
      <c r="B559" s="3066">
        <v>567</v>
      </c>
      <c r="C559" s="3066" t="s">
        <v>5303</v>
      </c>
      <c r="D559" s="3066" t="s">
        <v>4053</v>
      </c>
      <c r="E559" s="3066" t="s">
        <v>5357</v>
      </c>
      <c r="F559" s="3066" t="s">
        <v>3917</v>
      </c>
      <c r="G559" s="3066" t="s">
        <v>1373</v>
      </c>
      <c r="H559" s="3066" t="s">
        <v>3560</v>
      </c>
      <c r="I559" s="3066" t="s">
        <v>5358</v>
      </c>
      <c r="J559" s="3066" t="s">
        <v>3560</v>
      </c>
      <c r="K559" s="3066" t="s">
        <v>3560</v>
      </c>
      <c r="L559" s="3066" t="s">
        <v>5359</v>
      </c>
      <c r="M559" s="3066" t="s">
        <v>5360</v>
      </c>
      <c r="N559" s="3066">
        <v>39.700000000000003</v>
      </c>
      <c r="O559" s="3066" t="s">
        <v>3619</v>
      </c>
      <c r="P559" s="3066" t="s">
        <v>3745</v>
      </c>
      <c r="Q559" s="3066">
        <v>1</v>
      </c>
      <c r="R559" s="3066">
        <v>5100</v>
      </c>
      <c r="S559" s="3066" t="s">
        <v>3567</v>
      </c>
      <c r="T559" s="3066">
        <v>21</v>
      </c>
      <c r="U559" s="3066">
        <v>833.7</v>
      </c>
      <c r="V559" s="3066" t="s">
        <v>3560</v>
      </c>
      <c r="W559" s="3066" t="s">
        <v>3568</v>
      </c>
      <c r="X559" s="3066">
        <v>2.25</v>
      </c>
      <c r="Y559" s="3066">
        <v>1072.8</v>
      </c>
      <c r="Z559" s="3066" t="s">
        <v>3568</v>
      </c>
      <c r="AA559" s="3066" t="s">
        <v>3560</v>
      </c>
      <c r="AB559" s="3066" t="s">
        <v>3584</v>
      </c>
      <c r="AC559" s="3066" t="s">
        <v>3584</v>
      </c>
      <c r="AD559" s="3066" t="s">
        <v>3584</v>
      </c>
      <c r="AE559" s="3066" t="s">
        <v>3560</v>
      </c>
      <c r="AF559" s="3067">
        <v>833.7</v>
      </c>
      <c r="AG559" s="3066">
        <v>833.7</v>
      </c>
      <c r="AH559" s="3066">
        <v>89.4</v>
      </c>
      <c r="AI559" s="3066">
        <v>89.4</v>
      </c>
      <c r="AJ559" s="3066">
        <v>0</v>
      </c>
      <c r="AK559" s="3066">
        <v>0</v>
      </c>
      <c r="AL559" s="3066">
        <v>923.1</v>
      </c>
      <c r="AM559" s="3066">
        <v>923.1</v>
      </c>
      <c r="AN559" s="3066" t="s">
        <v>3560</v>
      </c>
      <c r="AP559" s="3068">
        <f t="shared" si="8"/>
        <v>21</v>
      </c>
    </row>
    <row r="560" spans="2:42" ht="27" customHeight="1">
      <c r="B560" s="3066">
        <v>568</v>
      </c>
      <c r="C560" s="3066" t="s">
        <v>5303</v>
      </c>
      <c r="D560" s="3066" t="s">
        <v>3915</v>
      </c>
      <c r="E560" s="3066" t="s">
        <v>5361</v>
      </c>
      <c r="F560" s="3066" t="s">
        <v>3917</v>
      </c>
      <c r="G560" s="3066" t="s">
        <v>1373</v>
      </c>
      <c r="H560" s="3066" t="s">
        <v>3560</v>
      </c>
      <c r="I560" s="3066" t="s">
        <v>5362</v>
      </c>
      <c r="J560" s="3066" t="s">
        <v>3560</v>
      </c>
      <c r="K560" s="3066" t="s">
        <v>3560</v>
      </c>
      <c r="L560" s="3066" t="s">
        <v>5363</v>
      </c>
      <c r="M560" s="3066" t="s">
        <v>5364</v>
      </c>
      <c r="N560" s="3066">
        <v>35.6</v>
      </c>
      <c r="O560" s="3066" t="s">
        <v>3744</v>
      </c>
      <c r="P560" s="3066" t="s">
        <v>3566</v>
      </c>
      <c r="Q560" s="3066">
        <v>1</v>
      </c>
      <c r="R560" s="3066">
        <v>255</v>
      </c>
      <c r="S560" s="3066" t="s">
        <v>3567</v>
      </c>
      <c r="T560" s="3066">
        <v>18</v>
      </c>
      <c r="U560" s="3066">
        <v>640.79999999999995</v>
      </c>
      <c r="V560" s="3066" t="s">
        <v>3560</v>
      </c>
      <c r="W560" s="3066" t="s">
        <v>3568</v>
      </c>
      <c r="X560" s="3066">
        <v>2.2799999999999998</v>
      </c>
      <c r="Y560" s="3066">
        <v>974.4</v>
      </c>
      <c r="Z560" s="3066" t="s">
        <v>3568</v>
      </c>
      <c r="AA560" s="3066" t="s">
        <v>3560</v>
      </c>
      <c r="AB560" s="3066" t="s">
        <v>3746</v>
      </c>
      <c r="AC560" s="3066" t="s">
        <v>3746</v>
      </c>
      <c r="AD560" s="3066" t="s">
        <v>3746</v>
      </c>
      <c r="AE560" s="3066" t="s">
        <v>3560</v>
      </c>
      <c r="AF560" s="3067">
        <v>0</v>
      </c>
      <c r="AG560" s="3066">
        <v>0</v>
      </c>
      <c r="AH560" s="3066">
        <v>0</v>
      </c>
      <c r="AI560" s="3066">
        <v>0</v>
      </c>
      <c r="AJ560" s="3066">
        <v>28.22</v>
      </c>
      <c r="AK560" s="3066">
        <v>0</v>
      </c>
      <c r="AL560" s="3066">
        <v>28.22</v>
      </c>
      <c r="AM560" s="3066">
        <v>0</v>
      </c>
      <c r="AN560" s="3066" t="s">
        <v>3560</v>
      </c>
      <c r="AP560" s="3068">
        <f t="shared" si="8"/>
        <v>0</v>
      </c>
    </row>
    <row r="561" spans="2:42" ht="27" customHeight="1">
      <c r="B561" s="3066">
        <v>569</v>
      </c>
      <c r="C561" s="3066" t="s">
        <v>5303</v>
      </c>
      <c r="D561" s="3066" t="s">
        <v>3915</v>
      </c>
      <c r="E561" s="3066" t="s">
        <v>5365</v>
      </c>
      <c r="F561" s="3066" t="s">
        <v>3917</v>
      </c>
      <c r="G561" s="3066" t="s">
        <v>1373</v>
      </c>
      <c r="H561" s="3066" t="s">
        <v>3560</v>
      </c>
      <c r="I561" s="3066" t="s">
        <v>5323</v>
      </c>
      <c r="J561" s="3066" t="s">
        <v>3560</v>
      </c>
      <c r="K561" s="3066" t="s">
        <v>3560</v>
      </c>
      <c r="L561" s="3066" t="s">
        <v>5324</v>
      </c>
      <c r="M561" s="3066" t="s">
        <v>5366</v>
      </c>
      <c r="N561" s="3066">
        <v>35.6</v>
      </c>
      <c r="O561" s="3066" t="s">
        <v>3619</v>
      </c>
      <c r="P561" s="3066" t="s">
        <v>3566</v>
      </c>
      <c r="Q561" s="3066">
        <v>1</v>
      </c>
      <c r="R561" s="3066">
        <v>0</v>
      </c>
      <c r="S561" s="3066" t="s">
        <v>3577</v>
      </c>
      <c r="T561" s="3066">
        <v>20</v>
      </c>
      <c r="U561" s="3066">
        <v>712</v>
      </c>
      <c r="V561" s="3066" t="s">
        <v>3560</v>
      </c>
      <c r="W561" s="3066" t="s">
        <v>3568</v>
      </c>
      <c r="X561" s="3066">
        <v>2.2799999999999998</v>
      </c>
      <c r="Y561" s="3066">
        <v>974.4</v>
      </c>
      <c r="Z561" s="3066" t="s">
        <v>3568</v>
      </c>
      <c r="AA561" s="3066" t="s">
        <v>3560</v>
      </c>
      <c r="AB561" s="3066" t="s">
        <v>3584</v>
      </c>
      <c r="AC561" s="3066" t="s">
        <v>3584</v>
      </c>
      <c r="AD561" s="3066" t="s">
        <v>3584</v>
      </c>
      <c r="AE561" s="3066" t="s">
        <v>3560</v>
      </c>
      <c r="AF561" s="3067">
        <v>712</v>
      </c>
      <c r="AG561" s="3066">
        <v>712</v>
      </c>
      <c r="AH561" s="3066">
        <v>81.2</v>
      </c>
      <c r="AI561" s="3066">
        <v>81.2</v>
      </c>
      <c r="AJ561" s="3066">
        <v>15.39</v>
      </c>
      <c r="AK561" s="3066">
        <v>15.39</v>
      </c>
      <c r="AL561" s="3066">
        <v>808.59</v>
      </c>
      <c r="AM561" s="3066">
        <v>808.59</v>
      </c>
      <c r="AN561" s="3066" t="s">
        <v>3560</v>
      </c>
      <c r="AP561" s="3068">
        <f t="shared" si="8"/>
        <v>20</v>
      </c>
    </row>
    <row r="562" spans="2:42" ht="27" customHeight="1">
      <c r="B562" s="3066">
        <v>570</v>
      </c>
      <c r="C562" s="3066" t="s">
        <v>5303</v>
      </c>
      <c r="D562" s="3066" t="s">
        <v>3915</v>
      </c>
      <c r="E562" s="3066" t="s">
        <v>5367</v>
      </c>
      <c r="F562" s="3066" t="s">
        <v>3917</v>
      </c>
      <c r="G562" s="3066" t="s">
        <v>1373</v>
      </c>
      <c r="H562" s="3066" t="s">
        <v>3560</v>
      </c>
      <c r="I562" s="3066" t="s">
        <v>5323</v>
      </c>
      <c r="J562" s="3066" t="s">
        <v>3560</v>
      </c>
      <c r="K562" s="3066" t="s">
        <v>3560</v>
      </c>
      <c r="L562" s="3066" t="s">
        <v>5324</v>
      </c>
      <c r="M562" s="3066" t="s">
        <v>5368</v>
      </c>
      <c r="N562" s="3066">
        <v>35.6</v>
      </c>
      <c r="O562" s="3066" t="s">
        <v>3619</v>
      </c>
      <c r="P562" s="3066" t="s">
        <v>3566</v>
      </c>
      <c r="Q562" s="3066">
        <v>1</v>
      </c>
      <c r="R562" s="3066">
        <v>0</v>
      </c>
      <c r="S562" s="3066" t="s">
        <v>3577</v>
      </c>
      <c r="T562" s="3066">
        <v>20</v>
      </c>
      <c r="U562" s="3066">
        <v>712</v>
      </c>
      <c r="V562" s="3066" t="s">
        <v>3560</v>
      </c>
      <c r="W562" s="3066" t="s">
        <v>3568</v>
      </c>
      <c r="X562" s="3066">
        <v>2.2799999999999998</v>
      </c>
      <c r="Y562" s="3066">
        <v>974.4</v>
      </c>
      <c r="Z562" s="3066" t="s">
        <v>3568</v>
      </c>
      <c r="AA562" s="3066" t="s">
        <v>3560</v>
      </c>
      <c r="AB562" s="3066" t="s">
        <v>3584</v>
      </c>
      <c r="AC562" s="3066" t="s">
        <v>3584</v>
      </c>
      <c r="AD562" s="3066" t="s">
        <v>3584</v>
      </c>
      <c r="AE562" s="3066" t="s">
        <v>3560</v>
      </c>
      <c r="AF562" s="3067">
        <v>712</v>
      </c>
      <c r="AG562" s="3066">
        <v>712</v>
      </c>
      <c r="AH562" s="3066">
        <v>81.2</v>
      </c>
      <c r="AI562" s="3066">
        <v>81.2</v>
      </c>
      <c r="AJ562" s="3066">
        <v>1.19</v>
      </c>
      <c r="AK562" s="3066">
        <v>1.19</v>
      </c>
      <c r="AL562" s="3066">
        <v>794.39</v>
      </c>
      <c r="AM562" s="3066">
        <v>794.39</v>
      </c>
      <c r="AN562" s="3066" t="s">
        <v>3560</v>
      </c>
      <c r="AP562" s="3068">
        <f t="shared" si="8"/>
        <v>20</v>
      </c>
    </row>
    <row r="563" spans="2:42" ht="27" customHeight="1">
      <c r="B563" s="3066">
        <v>571</v>
      </c>
      <c r="C563" s="3066" t="s">
        <v>5303</v>
      </c>
      <c r="D563" s="3066" t="s">
        <v>3915</v>
      </c>
      <c r="E563" s="3066" t="s">
        <v>5369</v>
      </c>
      <c r="F563" s="3066" t="s">
        <v>3917</v>
      </c>
      <c r="G563" s="3066" t="s">
        <v>3560</v>
      </c>
      <c r="H563" s="3066" t="s">
        <v>3560</v>
      </c>
      <c r="I563" s="3066" t="s">
        <v>5370</v>
      </c>
      <c r="J563" s="3066" t="s">
        <v>5370</v>
      </c>
      <c r="K563" s="3066" t="s">
        <v>3560</v>
      </c>
      <c r="L563" s="3066" t="s">
        <v>5371</v>
      </c>
      <c r="M563" s="3066" t="s">
        <v>5372</v>
      </c>
      <c r="N563" s="3066">
        <v>35.6</v>
      </c>
      <c r="O563" s="3066" t="s">
        <v>5230</v>
      </c>
      <c r="P563" s="3066" t="s">
        <v>4096</v>
      </c>
      <c r="Q563" s="3066">
        <v>1</v>
      </c>
      <c r="R563" s="3066">
        <v>2486</v>
      </c>
      <c r="S563" s="3066" t="s">
        <v>3567</v>
      </c>
      <c r="T563" s="3066">
        <v>21</v>
      </c>
      <c r="U563" s="3066">
        <v>747.6</v>
      </c>
      <c r="V563" s="3066" t="s">
        <v>3560</v>
      </c>
      <c r="W563" s="3066" t="s">
        <v>3568</v>
      </c>
      <c r="X563" s="3066">
        <v>2.2799999999999998</v>
      </c>
      <c r="Y563" s="3066">
        <v>974.4</v>
      </c>
      <c r="Z563" s="3066" t="s">
        <v>3568</v>
      </c>
      <c r="AA563" s="3066" t="s">
        <v>3560</v>
      </c>
      <c r="AB563" s="3066" t="s">
        <v>4868</v>
      </c>
      <c r="AC563" s="3066" t="s">
        <v>4868</v>
      </c>
      <c r="AD563" s="3066" t="s">
        <v>4868</v>
      </c>
      <c r="AE563" s="3066" t="s">
        <v>3560</v>
      </c>
      <c r="AF563" s="3067">
        <v>0</v>
      </c>
      <c r="AG563" s="3066">
        <v>0</v>
      </c>
      <c r="AH563" s="3066">
        <v>0</v>
      </c>
      <c r="AI563" s="3066">
        <v>0</v>
      </c>
      <c r="AJ563" s="3066">
        <v>0</v>
      </c>
      <c r="AK563" s="3066">
        <v>0</v>
      </c>
      <c r="AL563" s="3066">
        <v>0</v>
      </c>
      <c r="AM563" s="3066">
        <v>0</v>
      </c>
      <c r="AN563" s="3066" t="s">
        <v>3560</v>
      </c>
      <c r="AP563" s="3068">
        <f t="shared" si="8"/>
        <v>0</v>
      </c>
    </row>
    <row r="564" spans="2:42" ht="27" customHeight="1">
      <c r="B564" s="3066">
        <v>572</v>
      </c>
      <c r="C564" s="3066" t="s">
        <v>5303</v>
      </c>
      <c r="D564" s="3066" t="s">
        <v>3915</v>
      </c>
      <c r="E564" s="3066" t="s">
        <v>5373</v>
      </c>
      <c r="F564" s="3066" t="s">
        <v>3917</v>
      </c>
      <c r="G564" s="3066" t="s">
        <v>1373</v>
      </c>
      <c r="H564" s="3066" t="s">
        <v>3560</v>
      </c>
      <c r="I564" s="3066" t="s">
        <v>5374</v>
      </c>
      <c r="J564" s="3066" t="s">
        <v>3560</v>
      </c>
      <c r="K564" s="3066" t="s">
        <v>3560</v>
      </c>
      <c r="L564" s="3066" t="s">
        <v>5375</v>
      </c>
      <c r="M564" s="3066" t="s">
        <v>5376</v>
      </c>
      <c r="N564" s="3066">
        <v>35.6</v>
      </c>
      <c r="O564" s="3066" t="s">
        <v>3619</v>
      </c>
      <c r="P564" s="3066" t="s">
        <v>3566</v>
      </c>
      <c r="Q564" s="3066">
        <v>1</v>
      </c>
      <c r="R564" s="3066">
        <v>3966</v>
      </c>
      <c r="S564" s="3066" t="s">
        <v>3567</v>
      </c>
      <c r="T564" s="3066">
        <v>20</v>
      </c>
      <c r="U564" s="3066">
        <v>712</v>
      </c>
      <c r="V564" s="3066" t="s">
        <v>3560</v>
      </c>
      <c r="W564" s="3066" t="s">
        <v>3568</v>
      </c>
      <c r="X564" s="3066">
        <v>2.2799999999999998</v>
      </c>
      <c r="Y564" s="3066">
        <v>974.4</v>
      </c>
      <c r="Z564" s="3066" t="s">
        <v>3568</v>
      </c>
      <c r="AA564" s="3066" t="s">
        <v>3560</v>
      </c>
      <c r="AB564" s="3066" t="s">
        <v>3584</v>
      </c>
      <c r="AC564" s="3066" t="s">
        <v>3584</v>
      </c>
      <c r="AD564" s="3066" t="s">
        <v>3584</v>
      </c>
      <c r="AE564" s="3066" t="s">
        <v>3560</v>
      </c>
      <c r="AF564" s="3067">
        <v>712</v>
      </c>
      <c r="AG564" s="3066">
        <v>712</v>
      </c>
      <c r="AH564" s="3066">
        <v>81.2</v>
      </c>
      <c r="AI564" s="3066">
        <v>81.2</v>
      </c>
      <c r="AJ564" s="3066">
        <v>106.41</v>
      </c>
      <c r="AK564" s="3066">
        <v>106.41</v>
      </c>
      <c r="AL564" s="3066">
        <v>899.61</v>
      </c>
      <c r="AM564" s="3066">
        <v>899.61</v>
      </c>
      <c r="AN564" s="3066" t="s">
        <v>3560</v>
      </c>
      <c r="AP564" s="3068">
        <f t="shared" si="8"/>
        <v>20</v>
      </c>
    </row>
    <row r="565" spans="2:42" ht="27" customHeight="1">
      <c r="B565" s="3066">
        <v>573</v>
      </c>
      <c r="C565" s="3066" t="s">
        <v>5303</v>
      </c>
      <c r="D565" s="3066" t="s">
        <v>3915</v>
      </c>
      <c r="E565" s="3066" t="s">
        <v>5377</v>
      </c>
      <c r="F565" s="3066" t="s">
        <v>3917</v>
      </c>
      <c r="G565" s="3066" t="s">
        <v>3560</v>
      </c>
      <c r="H565" s="3066" t="s">
        <v>3560</v>
      </c>
      <c r="I565" s="3066" t="s">
        <v>3560</v>
      </c>
      <c r="J565" s="3066" t="s">
        <v>3560</v>
      </c>
      <c r="K565" s="3066" t="s">
        <v>3560</v>
      </c>
      <c r="L565" s="3066" t="s">
        <v>3560</v>
      </c>
      <c r="M565" s="3066" t="s">
        <v>5378</v>
      </c>
      <c r="N565" s="3066">
        <v>35.6</v>
      </c>
      <c r="O565" s="3066" t="s">
        <v>3560</v>
      </c>
      <c r="P565" s="3066" t="s">
        <v>3560</v>
      </c>
      <c r="Q565" s="3066">
        <v>0</v>
      </c>
      <c r="R565" s="3066">
        <v>0</v>
      </c>
      <c r="S565" s="3066" t="s">
        <v>3577</v>
      </c>
      <c r="T565" s="3066">
        <v>0</v>
      </c>
      <c r="U565" s="3066">
        <v>0</v>
      </c>
      <c r="V565" s="3066" t="s">
        <v>3560</v>
      </c>
      <c r="W565" s="3066" t="s">
        <v>3568</v>
      </c>
      <c r="X565" s="3066">
        <v>0</v>
      </c>
      <c r="Y565" s="3066">
        <v>0</v>
      </c>
      <c r="Z565" s="3066" t="s">
        <v>3568</v>
      </c>
      <c r="AA565" s="3066" t="s">
        <v>3560</v>
      </c>
      <c r="AB565" s="3066" t="s">
        <v>3560</v>
      </c>
      <c r="AC565" s="3066" t="s">
        <v>3560</v>
      </c>
      <c r="AD565" s="3066" t="s">
        <v>3560</v>
      </c>
      <c r="AE565" s="3066" t="s">
        <v>3560</v>
      </c>
      <c r="AF565" s="3067">
        <v>0</v>
      </c>
      <c r="AG565" s="3066">
        <v>0</v>
      </c>
      <c r="AH565" s="3066">
        <v>0</v>
      </c>
      <c r="AI565" s="3066">
        <v>0</v>
      </c>
      <c r="AJ565" s="3066">
        <v>0</v>
      </c>
      <c r="AK565" s="3066">
        <v>0</v>
      </c>
      <c r="AL565" s="3066">
        <v>0</v>
      </c>
      <c r="AM565" s="3066">
        <v>0</v>
      </c>
      <c r="AN565" s="3066" t="s">
        <v>3560</v>
      </c>
      <c r="AP565" s="3068">
        <f t="shared" si="8"/>
        <v>0</v>
      </c>
    </row>
    <row r="566" spans="2:42" ht="27" customHeight="1">
      <c r="B566" s="3066">
        <v>574</v>
      </c>
      <c r="C566" s="3066" t="s">
        <v>5303</v>
      </c>
      <c r="D566" s="3066" t="s">
        <v>3915</v>
      </c>
      <c r="E566" s="3066" t="s">
        <v>5379</v>
      </c>
      <c r="F566" s="3066" t="s">
        <v>3917</v>
      </c>
      <c r="G566" s="3066" t="s">
        <v>1373</v>
      </c>
      <c r="H566" s="3066" t="s">
        <v>3560</v>
      </c>
      <c r="I566" s="3066" t="s">
        <v>5358</v>
      </c>
      <c r="J566" s="3066" t="s">
        <v>3560</v>
      </c>
      <c r="K566" s="3066" t="s">
        <v>3560</v>
      </c>
      <c r="L566" s="3066" t="s">
        <v>5359</v>
      </c>
      <c r="M566" s="3066" t="s">
        <v>5380</v>
      </c>
      <c r="N566" s="3066">
        <v>35.6</v>
      </c>
      <c r="O566" s="3066" t="s">
        <v>3619</v>
      </c>
      <c r="P566" s="3066" t="s">
        <v>3745</v>
      </c>
      <c r="Q566" s="3066">
        <v>1</v>
      </c>
      <c r="R566" s="3066">
        <v>0</v>
      </c>
      <c r="S566" s="3066" t="s">
        <v>3577</v>
      </c>
      <c r="T566" s="3066">
        <v>21</v>
      </c>
      <c r="U566" s="3066">
        <v>747.6</v>
      </c>
      <c r="V566" s="3066" t="s">
        <v>3560</v>
      </c>
      <c r="W566" s="3066" t="s">
        <v>3568</v>
      </c>
      <c r="X566" s="3066">
        <v>2.2799999999999998</v>
      </c>
      <c r="Y566" s="3066">
        <v>974.4</v>
      </c>
      <c r="Z566" s="3066" t="s">
        <v>3568</v>
      </c>
      <c r="AA566" s="3066" t="s">
        <v>3560</v>
      </c>
      <c r="AB566" s="3066" t="s">
        <v>3584</v>
      </c>
      <c r="AC566" s="3066" t="s">
        <v>3584</v>
      </c>
      <c r="AD566" s="3066" t="s">
        <v>3584</v>
      </c>
      <c r="AE566" s="3066" t="s">
        <v>3560</v>
      </c>
      <c r="AF566" s="3067">
        <v>747.6</v>
      </c>
      <c r="AG566" s="3066">
        <v>747.6</v>
      </c>
      <c r="AH566" s="3066">
        <v>81.2</v>
      </c>
      <c r="AI566" s="3066">
        <v>81.2</v>
      </c>
      <c r="AJ566" s="3066">
        <v>0</v>
      </c>
      <c r="AK566" s="3066">
        <v>0</v>
      </c>
      <c r="AL566" s="3066">
        <v>828.8</v>
      </c>
      <c r="AM566" s="3066">
        <v>828.8</v>
      </c>
      <c r="AN566" s="3066" t="s">
        <v>3560</v>
      </c>
      <c r="AP566" s="3068">
        <f t="shared" si="8"/>
        <v>21</v>
      </c>
    </row>
    <row r="567" spans="2:42" ht="27" customHeight="1">
      <c r="B567" s="3066">
        <v>575</v>
      </c>
      <c r="C567" s="3066" t="s">
        <v>5303</v>
      </c>
      <c r="D567" s="3066" t="s">
        <v>3915</v>
      </c>
      <c r="E567" s="3066" t="s">
        <v>5379</v>
      </c>
      <c r="F567" s="3066" t="s">
        <v>3917</v>
      </c>
      <c r="G567" s="3066" t="s">
        <v>3560</v>
      </c>
      <c r="H567" s="3066" t="s">
        <v>3560</v>
      </c>
      <c r="I567" s="3066" t="s">
        <v>5381</v>
      </c>
      <c r="J567" s="3066" t="s">
        <v>5381</v>
      </c>
      <c r="K567" s="3066" t="s">
        <v>3560</v>
      </c>
      <c r="L567" s="3066" t="s">
        <v>5382</v>
      </c>
      <c r="M567" s="3066" t="s">
        <v>5380</v>
      </c>
      <c r="N567" s="3066">
        <v>35.6</v>
      </c>
      <c r="O567" s="3066" t="s">
        <v>5211</v>
      </c>
      <c r="P567" s="3066" t="s">
        <v>3566</v>
      </c>
      <c r="Q567" s="3066">
        <v>1</v>
      </c>
      <c r="R567" s="3066">
        <v>2486</v>
      </c>
      <c r="S567" s="3066" t="s">
        <v>3567</v>
      </c>
      <c r="T567" s="3066">
        <v>21</v>
      </c>
      <c r="U567" s="3066">
        <v>747.6</v>
      </c>
      <c r="V567" s="3066" t="s">
        <v>3560</v>
      </c>
      <c r="W567" s="3066" t="s">
        <v>3568</v>
      </c>
      <c r="X567" s="3066">
        <v>2.2799999999999998</v>
      </c>
      <c r="Y567" s="3066">
        <v>974.4</v>
      </c>
      <c r="Z567" s="3066" t="s">
        <v>3568</v>
      </c>
      <c r="AA567" s="3066" t="s">
        <v>3560</v>
      </c>
      <c r="AB567" s="3066" t="s">
        <v>3943</v>
      </c>
      <c r="AC567" s="3066" t="s">
        <v>3943</v>
      </c>
      <c r="AD567" s="3066" t="s">
        <v>3943</v>
      </c>
      <c r="AE567" s="3066" t="s">
        <v>3560</v>
      </c>
      <c r="AF567" s="3067">
        <v>0</v>
      </c>
      <c r="AG567" s="3066">
        <v>0</v>
      </c>
      <c r="AH567" s="3066">
        <v>0</v>
      </c>
      <c r="AI567" s="3066">
        <v>0</v>
      </c>
      <c r="AJ567" s="3066">
        <v>0</v>
      </c>
      <c r="AK567" s="3066">
        <v>0</v>
      </c>
      <c r="AL567" s="3066">
        <v>0</v>
      </c>
      <c r="AM567" s="3066">
        <v>0</v>
      </c>
      <c r="AN567" s="3066" t="s">
        <v>3560</v>
      </c>
      <c r="AP567" s="3068">
        <f t="shared" si="8"/>
        <v>0</v>
      </c>
    </row>
    <row r="568" spans="2:42" ht="27" customHeight="1">
      <c r="B568" s="3066">
        <v>576</v>
      </c>
      <c r="C568" s="3066" t="s">
        <v>5303</v>
      </c>
      <c r="D568" s="3066" t="s">
        <v>3915</v>
      </c>
      <c r="E568" s="3066" t="s">
        <v>5383</v>
      </c>
      <c r="F568" s="3066" t="s">
        <v>3917</v>
      </c>
      <c r="G568" s="3066" t="s">
        <v>1373</v>
      </c>
      <c r="H568" s="3066" t="s">
        <v>3560</v>
      </c>
      <c r="I568" s="3066" t="s">
        <v>3759</v>
      </c>
      <c r="J568" s="3066" t="s">
        <v>3760</v>
      </c>
      <c r="K568" s="3066" t="s">
        <v>3560</v>
      </c>
      <c r="L568" s="3066" t="s">
        <v>3761</v>
      </c>
      <c r="M568" s="3066" t="s">
        <v>5384</v>
      </c>
      <c r="N568" s="3066">
        <v>35.6</v>
      </c>
      <c r="O568" s="3066" t="s">
        <v>5385</v>
      </c>
      <c r="P568" s="3066" t="s">
        <v>3566</v>
      </c>
      <c r="Q568" s="3066">
        <v>0</v>
      </c>
      <c r="R568" s="3066">
        <v>2349.6</v>
      </c>
      <c r="S568" s="3066" t="s">
        <v>3567</v>
      </c>
      <c r="T568" s="3066">
        <v>20</v>
      </c>
      <c r="U568" s="3066">
        <v>712</v>
      </c>
      <c r="V568" s="3066" t="s">
        <v>3560</v>
      </c>
      <c r="W568" s="3066" t="s">
        <v>3568</v>
      </c>
      <c r="X568" s="3066">
        <v>2</v>
      </c>
      <c r="Y568" s="3066">
        <v>854.4</v>
      </c>
      <c r="Z568" s="3066" t="s">
        <v>3568</v>
      </c>
      <c r="AA568" s="3066" t="s">
        <v>3560</v>
      </c>
      <c r="AB568" s="3066" t="s">
        <v>3932</v>
      </c>
      <c r="AC568" s="3066" t="s">
        <v>3932</v>
      </c>
      <c r="AD568" s="3066" t="s">
        <v>3932</v>
      </c>
      <c r="AE568" s="3066" t="s">
        <v>3560</v>
      </c>
      <c r="AF568" s="3067">
        <v>712</v>
      </c>
      <c r="AG568" s="3066">
        <v>0</v>
      </c>
      <c r="AH568" s="3066">
        <v>71.2</v>
      </c>
      <c r="AI568" s="3066">
        <v>0</v>
      </c>
      <c r="AJ568" s="3066">
        <v>52.76</v>
      </c>
      <c r="AK568" s="3066">
        <v>0</v>
      </c>
      <c r="AL568" s="3066">
        <v>835.96</v>
      </c>
      <c r="AM568" s="3066">
        <v>0</v>
      </c>
      <c r="AN568" s="3066" t="s">
        <v>3560</v>
      </c>
      <c r="AP568" s="3068">
        <f t="shared" si="8"/>
        <v>20</v>
      </c>
    </row>
    <row r="569" spans="2:42" ht="27" customHeight="1">
      <c r="B569" s="3066">
        <v>577</v>
      </c>
      <c r="C569" s="3066" t="s">
        <v>5303</v>
      </c>
      <c r="D569" s="3066" t="s">
        <v>3915</v>
      </c>
      <c r="E569" s="3066" t="s">
        <v>5386</v>
      </c>
      <c r="F569" s="3066" t="s">
        <v>3917</v>
      </c>
      <c r="G569" s="3066" t="s">
        <v>3560</v>
      </c>
      <c r="H569" s="3066" t="s">
        <v>3560</v>
      </c>
      <c r="I569" s="3066" t="s">
        <v>5387</v>
      </c>
      <c r="J569" s="3066" t="s">
        <v>5387</v>
      </c>
      <c r="K569" s="3066" t="s">
        <v>3560</v>
      </c>
      <c r="L569" s="3066" t="s">
        <v>5388</v>
      </c>
      <c r="M569" s="3066" t="s">
        <v>5389</v>
      </c>
      <c r="N569" s="3066">
        <v>35.6</v>
      </c>
      <c r="O569" s="3066" t="s">
        <v>3676</v>
      </c>
      <c r="P569" s="3066" t="s">
        <v>3566</v>
      </c>
      <c r="Q569" s="3066">
        <v>1</v>
      </c>
      <c r="R569" s="3066">
        <v>2166</v>
      </c>
      <c r="S569" s="3066" t="s">
        <v>3567</v>
      </c>
      <c r="T569" s="3066">
        <v>20</v>
      </c>
      <c r="U569" s="3066">
        <v>712</v>
      </c>
      <c r="V569" s="3066" t="s">
        <v>3560</v>
      </c>
      <c r="W569" s="3066" t="s">
        <v>3568</v>
      </c>
      <c r="X569" s="3066">
        <v>2.2799999999999998</v>
      </c>
      <c r="Y569" s="3066">
        <v>974.4</v>
      </c>
      <c r="Z569" s="3066" t="s">
        <v>3568</v>
      </c>
      <c r="AA569" s="3066" t="s">
        <v>3560</v>
      </c>
      <c r="AB569" s="3066" t="s">
        <v>3677</v>
      </c>
      <c r="AC569" s="3066" t="s">
        <v>3677</v>
      </c>
      <c r="AD569" s="3066" t="s">
        <v>3677</v>
      </c>
      <c r="AE569" s="3066" t="s">
        <v>3560</v>
      </c>
      <c r="AF569" s="3067">
        <v>712</v>
      </c>
      <c r="AG569" s="3066">
        <v>712</v>
      </c>
      <c r="AH569" s="3066">
        <v>81.2</v>
      </c>
      <c r="AI569" s="3066">
        <v>81.2</v>
      </c>
      <c r="AJ569" s="3066">
        <v>75.73</v>
      </c>
      <c r="AK569" s="3066">
        <v>75.73</v>
      </c>
      <c r="AL569" s="3066">
        <v>868.93</v>
      </c>
      <c r="AM569" s="3066">
        <v>868.93</v>
      </c>
      <c r="AN569" s="3066" t="s">
        <v>3560</v>
      </c>
      <c r="AP569" s="3068">
        <f t="shared" si="8"/>
        <v>20</v>
      </c>
    </row>
    <row r="570" spans="2:42" ht="27" customHeight="1">
      <c r="B570" s="3066">
        <v>578</v>
      </c>
      <c r="C570" s="3066" t="s">
        <v>5303</v>
      </c>
      <c r="D570" s="3066" t="s">
        <v>3915</v>
      </c>
      <c r="E570" s="3066" t="s">
        <v>5390</v>
      </c>
      <c r="F570" s="3066" t="s">
        <v>3917</v>
      </c>
      <c r="G570" s="3066" t="s">
        <v>1373</v>
      </c>
      <c r="H570" s="3066" t="s">
        <v>3560</v>
      </c>
      <c r="I570" s="3066" t="s">
        <v>5391</v>
      </c>
      <c r="J570" s="3066" t="s">
        <v>3560</v>
      </c>
      <c r="K570" s="3066" t="s">
        <v>3560</v>
      </c>
      <c r="L570" s="3066" t="s">
        <v>5392</v>
      </c>
      <c r="M570" s="3066" t="s">
        <v>5393</v>
      </c>
      <c r="N570" s="3066">
        <v>35.6</v>
      </c>
      <c r="O570" s="3066" t="s">
        <v>3950</v>
      </c>
      <c r="P570" s="3066" t="s">
        <v>3566</v>
      </c>
      <c r="Q570" s="3066">
        <v>1</v>
      </c>
      <c r="R570" s="3066">
        <v>4144</v>
      </c>
      <c r="S570" s="3066" t="s">
        <v>3567</v>
      </c>
      <c r="T570" s="3066">
        <v>21</v>
      </c>
      <c r="U570" s="3066">
        <v>747.6</v>
      </c>
      <c r="V570" s="3066" t="s">
        <v>3560</v>
      </c>
      <c r="W570" s="3066" t="s">
        <v>3568</v>
      </c>
      <c r="X570" s="3066">
        <v>2.2799999999999998</v>
      </c>
      <c r="Y570" s="3066">
        <v>974.4</v>
      </c>
      <c r="Z570" s="3066" t="s">
        <v>3568</v>
      </c>
      <c r="AA570" s="3066" t="s">
        <v>3560</v>
      </c>
      <c r="AB570" s="3066" t="s">
        <v>3951</v>
      </c>
      <c r="AC570" s="3066" t="s">
        <v>3951</v>
      </c>
      <c r="AD570" s="3066" t="s">
        <v>3951</v>
      </c>
      <c r="AE570" s="3066" t="s">
        <v>3560</v>
      </c>
      <c r="AF570" s="3067">
        <v>712</v>
      </c>
      <c r="AG570" s="3066">
        <v>712</v>
      </c>
      <c r="AH570" s="3066">
        <v>81.2</v>
      </c>
      <c r="AI570" s="3066">
        <v>81.2</v>
      </c>
      <c r="AJ570" s="3066">
        <v>61.7</v>
      </c>
      <c r="AK570" s="3066">
        <v>61.7</v>
      </c>
      <c r="AL570" s="3066">
        <v>854.9</v>
      </c>
      <c r="AM570" s="3066">
        <v>854.9</v>
      </c>
      <c r="AN570" s="3066" t="s">
        <v>3560</v>
      </c>
      <c r="AP570" s="3068">
        <f t="shared" si="8"/>
        <v>20</v>
      </c>
    </row>
    <row r="571" spans="2:42" ht="27" customHeight="1">
      <c r="B571" s="3066">
        <v>579</v>
      </c>
      <c r="C571" s="3066" t="s">
        <v>5303</v>
      </c>
      <c r="D571" s="3066" t="s">
        <v>3915</v>
      </c>
      <c r="E571" s="3066" t="s">
        <v>5394</v>
      </c>
      <c r="F571" s="3066" t="s">
        <v>3917</v>
      </c>
      <c r="G571" s="3066" t="s">
        <v>3560</v>
      </c>
      <c r="H571" s="3066" t="s">
        <v>3560</v>
      </c>
      <c r="I571" s="3066" t="s">
        <v>5395</v>
      </c>
      <c r="J571" s="3066" t="s">
        <v>5395</v>
      </c>
      <c r="K571" s="3066" t="s">
        <v>3560</v>
      </c>
      <c r="L571" s="3066" t="s">
        <v>5396</v>
      </c>
      <c r="M571" s="3066" t="s">
        <v>5397</v>
      </c>
      <c r="N571" s="3066">
        <v>35.6</v>
      </c>
      <c r="O571" s="3066" t="s">
        <v>3950</v>
      </c>
      <c r="P571" s="3066" t="s">
        <v>3566</v>
      </c>
      <c r="Q571" s="3066">
        <v>1</v>
      </c>
      <c r="R571" s="3066">
        <v>3966</v>
      </c>
      <c r="S571" s="3066" t="s">
        <v>3567</v>
      </c>
      <c r="T571" s="3066">
        <v>21</v>
      </c>
      <c r="U571" s="3066">
        <v>747.6</v>
      </c>
      <c r="V571" s="3066" t="s">
        <v>3560</v>
      </c>
      <c r="W571" s="3066" t="s">
        <v>3568</v>
      </c>
      <c r="X571" s="3066">
        <v>2.2799999999999998</v>
      </c>
      <c r="Y571" s="3066">
        <v>974.4</v>
      </c>
      <c r="Z571" s="3066" t="s">
        <v>3568</v>
      </c>
      <c r="AA571" s="3066" t="s">
        <v>3560</v>
      </c>
      <c r="AB571" s="3066" t="s">
        <v>3951</v>
      </c>
      <c r="AC571" s="3066" t="s">
        <v>3951</v>
      </c>
      <c r="AD571" s="3066" t="s">
        <v>3951</v>
      </c>
      <c r="AE571" s="3066" t="s">
        <v>3560</v>
      </c>
      <c r="AF571" s="3067">
        <v>747.6</v>
      </c>
      <c r="AG571" s="3066">
        <v>747.6</v>
      </c>
      <c r="AH571" s="3066">
        <v>81.2</v>
      </c>
      <c r="AI571" s="3066">
        <v>81.2</v>
      </c>
      <c r="AJ571" s="3066">
        <v>33.14</v>
      </c>
      <c r="AK571" s="3066">
        <v>33.14</v>
      </c>
      <c r="AL571" s="3066">
        <v>861.94</v>
      </c>
      <c r="AM571" s="3066">
        <v>861.94</v>
      </c>
      <c r="AN571" s="3066" t="s">
        <v>3560</v>
      </c>
      <c r="AP571" s="3068">
        <f t="shared" si="8"/>
        <v>21</v>
      </c>
    </row>
    <row r="572" spans="2:42" ht="27" customHeight="1">
      <c r="B572" s="3066">
        <v>580</v>
      </c>
      <c r="C572" s="3066" t="s">
        <v>5303</v>
      </c>
      <c r="D572" s="3066" t="s">
        <v>3915</v>
      </c>
      <c r="E572" s="3066" t="s">
        <v>5398</v>
      </c>
      <c r="F572" s="3066" t="s">
        <v>3917</v>
      </c>
      <c r="G572" s="3066" t="s">
        <v>1373</v>
      </c>
      <c r="H572" s="3066" t="s">
        <v>3560</v>
      </c>
      <c r="I572" s="3066" t="s">
        <v>5399</v>
      </c>
      <c r="J572" s="3066" t="s">
        <v>3560</v>
      </c>
      <c r="K572" s="3066" t="s">
        <v>3560</v>
      </c>
      <c r="L572" s="3066" t="s">
        <v>5400</v>
      </c>
      <c r="M572" s="3066" t="s">
        <v>5401</v>
      </c>
      <c r="N572" s="3066">
        <v>39.700000000000003</v>
      </c>
      <c r="O572" s="3066" t="s">
        <v>3619</v>
      </c>
      <c r="P572" s="3066" t="s">
        <v>3566</v>
      </c>
      <c r="Q572" s="3066">
        <v>1</v>
      </c>
      <c r="R572" s="3066">
        <v>2650</v>
      </c>
      <c r="S572" s="3066" t="s">
        <v>3567</v>
      </c>
      <c r="T572" s="3066">
        <v>20</v>
      </c>
      <c r="U572" s="3066">
        <v>794</v>
      </c>
      <c r="V572" s="3066" t="s">
        <v>3560</v>
      </c>
      <c r="W572" s="3066" t="s">
        <v>3568</v>
      </c>
      <c r="X572" s="3066">
        <v>2.25</v>
      </c>
      <c r="Y572" s="3066">
        <v>1072.8</v>
      </c>
      <c r="Z572" s="3066" t="s">
        <v>3568</v>
      </c>
      <c r="AA572" s="3066" t="s">
        <v>3560</v>
      </c>
      <c r="AB572" s="3066" t="s">
        <v>3584</v>
      </c>
      <c r="AC572" s="3066" t="s">
        <v>3584</v>
      </c>
      <c r="AD572" s="3066" t="s">
        <v>3584</v>
      </c>
      <c r="AE572" s="3066" t="s">
        <v>3560</v>
      </c>
      <c r="AF572" s="3067">
        <v>0</v>
      </c>
      <c r="AG572" s="3066">
        <v>0</v>
      </c>
      <c r="AH572" s="3066">
        <v>0</v>
      </c>
      <c r="AI572" s="3066">
        <v>0</v>
      </c>
      <c r="AJ572" s="3066">
        <v>89.06</v>
      </c>
      <c r="AK572" s="3066">
        <v>0</v>
      </c>
      <c r="AL572" s="3066">
        <v>89.06</v>
      </c>
      <c r="AM572" s="3066">
        <v>0</v>
      </c>
      <c r="AN572" s="3066" t="s">
        <v>3560</v>
      </c>
      <c r="AP572" s="3068">
        <f t="shared" si="8"/>
        <v>0</v>
      </c>
    </row>
    <row r="573" spans="2:42" ht="27" customHeight="1">
      <c r="B573" s="3066">
        <v>581</v>
      </c>
      <c r="C573" s="3066" t="s">
        <v>5303</v>
      </c>
      <c r="D573" s="3066" t="s">
        <v>3926</v>
      </c>
      <c r="E573" s="3066" t="s">
        <v>5402</v>
      </c>
      <c r="F573" s="3066" t="s">
        <v>3917</v>
      </c>
      <c r="G573" s="3066" t="s">
        <v>1373</v>
      </c>
      <c r="H573" s="3066" t="s">
        <v>3560</v>
      </c>
      <c r="I573" s="3066" t="s">
        <v>3615</v>
      </c>
      <c r="J573" s="3066" t="s">
        <v>3616</v>
      </c>
      <c r="K573" s="3066" t="s">
        <v>3560</v>
      </c>
      <c r="L573" s="3066" t="s">
        <v>3617</v>
      </c>
      <c r="M573" s="3066" t="s">
        <v>5403</v>
      </c>
      <c r="N573" s="3066">
        <v>431.3</v>
      </c>
      <c r="O573" s="3066" t="s">
        <v>3619</v>
      </c>
      <c r="P573" s="3066" t="s">
        <v>3566</v>
      </c>
      <c r="Q573" s="3066">
        <v>1</v>
      </c>
      <c r="R573" s="3066">
        <v>34464.54</v>
      </c>
      <c r="S573" s="3066" t="s">
        <v>3567</v>
      </c>
      <c r="T573" s="3066">
        <v>20</v>
      </c>
      <c r="U573" s="3066">
        <v>8626</v>
      </c>
      <c r="V573" s="3066" t="s">
        <v>3560</v>
      </c>
      <c r="W573" s="3066" t="s">
        <v>3568</v>
      </c>
      <c r="X573" s="3066">
        <v>2</v>
      </c>
      <c r="Y573" s="3066">
        <v>10351.200000000001</v>
      </c>
      <c r="Z573" s="3066" t="s">
        <v>3568</v>
      </c>
      <c r="AA573" s="3066" t="s">
        <v>3560</v>
      </c>
      <c r="AB573" s="3066" t="s">
        <v>3584</v>
      </c>
      <c r="AC573" s="3066" t="s">
        <v>3584</v>
      </c>
      <c r="AD573" s="3066" t="s">
        <v>3584</v>
      </c>
      <c r="AE573" s="3066" t="s">
        <v>3560</v>
      </c>
      <c r="AF573" s="3067">
        <v>8626</v>
      </c>
      <c r="AG573" s="3066">
        <v>0</v>
      </c>
      <c r="AH573" s="3066">
        <v>862.6</v>
      </c>
      <c r="AI573" s="3066">
        <v>0</v>
      </c>
      <c r="AJ573" s="3066">
        <v>2412</v>
      </c>
      <c r="AK573" s="3066">
        <v>0</v>
      </c>
      <c r="AL573" s="3066">
        <v>11900.6</v>
      </c>
      <c r="AM573" s="3066">
        <v>0</v>
      </c>
      <c r="AN573" s="3066" t="s">
        <v>3560</v>
      </c>
      <c r="AP573" s="3068">
        <f t="shared" si="8"/>
        <v>20</v>
      </c>
    </row>
    <row r="574" spans="2:42" ht="27" customHeight="1">
      <c r="B574" s="3066">
        <v>582</v>
      </c>
      <c r="C574" s="3066" t="s">
        <v>5303</v>
      </c>
      <c r="D574" s="3066" t="s">
        <v>3972</v>
      </c>
      <c r="E574" s="3066" t="s">
        <v>5404</v>
      </c>
      <c r="F574" s="3066" t="s">
        <v>3917</v>
      </c>
      <c r="G574" s="3066" t="s">
        <v>1373</v>
      </c>
      <c r="H574" s="3066" t="s">
        <v>3560</v>
      </c>
      <c r="I574" s="3066" t="s">
        <v>3615</v>
      </c>
      <c r="J574" s="3066" t="s">
        <v>3616</v>
      </c>
      <c r="K574" s="3066" t="s">
        <v>3560</v>
      </c>
      <c r="L574" s="3066" t="s">
        <v>3617</v>
      </c>
      <c r="M574" s="3066" t="s">
        <v>5405</v>
      </c>
      <c r="N574" s="3066">
        <v>431.3</v>
      </c>
      <c r="O574" s="3066" t="s">
        <v>3619</v>
      </c>
      <c r="P574" s="3066" t="s">
        <v>3566</v>
      </c>
      <c r="Q574" s="3066">
        <v>1</v>
      </c>
      <c r="R574" s="3066">
        <v>0</v>
      </c>
      <c r="S574" s="3066" t="s">
        <v>3577</v>
      </c>
      <c r="T574" s="3066">
        <v>20</v>
      </c>
      <c r="U574" s="3066">
        <v>8626</v>
      </c>
      <c r="V574" s="3066" t="s">
        <v>3560</v>
      </c>
      <c r="W574" s="3066" t="s">
        <v>3568</v>
      </c>
      <c r="X574" s="3066">
        <v>2</v>
      </c>
      <c r="Y574" s="3066">
        <v>10351.200000000001</v>
      </c>
      <c r="Z574" s="3066" t="s">
        <v>3568</v>
      </c>
      <c r="AA574" s="3066" t="s">
        <v>3560</v>
      </c>
      <c r="AB574" s="3066" t="s">
        <v>3584</v>
      </c>
      <c r="AC574" s="3066" t="s">
        <v>3584</v>
      </c>
      <c r="AD574" s="3066" t="s">
        <v>3584</v>
      </c>
      <c r="AE574" s="3066" t="s">
        <v>3560</v>
      </c>
      <c r="AF574" s="3067">
        <v>8626</v>
      </c>
      <c r="AG574" s="3066">
        <v>0</v>
      </c>
      <c r="AH574" s="3066">
        <v>862.6</v>
      </c>
      <c r="AI574" s="3066">
        <v>0</v>
      </c>
      <c r="AJ574" s="3066">
        <v>2609.8200000000002</v>
      </c>
      <c r="AK574" s="3066">
        <v>0</v>
      </c>
      <c r="AL574" s="3066">
        <v>12098.42</v>
      </c>
      <c r="AM574" s="3066">
        <v>0</v>
      </c>
      <c r="AN574" s="3066" t="s">
        <v>3560</v>
      </c>
      <c r="AP574" s="3068">
        <f t="shared" si="8"/>
        <v>20</v>
      </c>
    </row>
    <row r="575" spans="2:42" ht="27" customHeight="1">
      <c r="B575" s="3066">
        <v>583</v>
      </c>
      <c r="C575" s="3066" t="s">
        <v>5303</v>
      </c>
      <c r="D575" s="3066" t="s">
        <v>4209</v>
      </c>
      <c r="E575" s="3066" t="s">
        <v>5406</v>
      </c>
      <c r="F575" s="3066" t="s">
        <v>3917</v>
      </c>
      <c r="G575" s="3066" t="s">
        <v>1373</v>
      </c>
      <c r="H575" s="3066" t="s">
        <v>3560</v>
      </c>
      <c r="I575" s="3066" t="s">
        <v>3615</v>
      </c>
      <c r="J575" s="3066" t="s">
        <v>3616</v>
      </c>
      <c r="K575" s="3066" t="s">
        <v>3560</v>
      </c>
      <c r="L575" s="3066" t="s">
        <v>3617</v>
      </c>
      <c r="M575" s="3066" t="s">
        <v>5407</v>
      </c>
      <c r="N575" s="3066">
        <v>431.3</v>
      </c>
      <c r="O575" s="3066" t="s">
        <v>3619</v>
      </c>
      <c r="P575" s="3066" t="s">
        <v>3566</v>
      </c>
      <c r="Q575" s="3066">
        <v>1</v>
      </c>
      <c r="R575" s="3066">
        <v>0</v>
      </c>
      <c r="S575" s="3066" t="s">
        <v>3577</v>
      </c>
      <c r="T575" s="3066">
        <v>20</v>
      </c>
      <c r="U575" s="3066">
        <v>8626</v>
      </c>
      <c r="V575" s="3066" t="s">
        <v>3560</v>
      </c>
      <c r="W575" s="3066" t="s">
        <v>3568</v>
      </c>
      <c r="X575" s="3066">
        <v>2</v>
      </c>
      <c r="Y575" s="3066">
        <v>10351.200000000001</v>
      </c>
      <c r="Z575" s="3066" t="s">
        <v>3568</v>
      </c>
      <c r="AA575" s="3066" t="s">
        <v>3560</v>
      </c>
      <c r="AB575" s="3066" t="s">
        <v>3584</v>
      </c>
      <c r="AC575" s="3066" t="s">
        <v>3584</v>
      </c>
      <c r="AD575" s="3066" t="s">
        <v>3584</v>
      </c>
      <c r="AE575" s="3066" t="s">
        <v>3560</v>
      </c>
      <c r="AF575" s="3067">
        <v>8626</v>
      </c>
      <c r="AG575" s="3066">
        <v>0</v>
      </c>
      <c r="AH575" s="3066">
        <v>862.6</v>
      </c>
      <c r="AI575" s="3066">
        <v>0</v>
      </c>
      <c r="AJ575" s="3066">
        <v>1945.18</v>
      </c>
      <c r="AK575" s="3066">
        <v>0</v>
      </c>
      <c r="AL575" s="3066">
        <v>11433.78</v>
      </c>
      <c r="AM575" s="3066">
        <v>0</v>
      </c>
      <c r="AN575" s="3066" t="s">
        <v>3560</v>
      </c>
      <c r="AP575" s="3068">
        <f t="shared" si="8"/>
        <v>20</v>
      </c>
    </row>
    <row r="576" spans="2:42" ht="27" customHeight="1">
      <c r="B576" s="3066">
        <v>584</v>
      </c>
      <c r="C576" s="3066" t="s">
        <v>5408</v>
      </c>
      <c r="D576" s="3066" t="s">
        <v>4019</v>
      </c>
      <c r="E576" s="3066" t="s">
        <v>5409</v>
      </c>
      <c r="F576" s="3066" t="s">
        <v>3917</v>
      </c>
      <c r="G576" s="3066" t="s">
        <v>1373</v>
      </c>
      <c r="H576" s="3066" t="s">
        <v>3560</v>
      </c>
      <c r="I576" s="3066" t="s">
        <v>3712</v>
      </c>
      <c r="J576" s="3066" t="s">
        <v>3713</v>
      </c>
      <c r="K576" s="3066" t="s">
        <v>3560</v>
      </c>
      <c r="L576" s="3066" t="s">
        <v>3714</v>
      </c>
      <c r="M576" s="3066" t="s">
        <v>5410</v>
      </c>
      <c r="N576" s="3066">
        <v>919.7</v>
      </c>
      <c r="O576" s="3066" t="s">
        <v>5411</v>
      </c>
      <c r="P576" s="3066" t="s">
        <v>3566</v>
      </c>
      <c r="Q576" s="3066">
        <v>2</v>
      </c>
      <c r="R576" s="3066">
        <v>0</v>
      </c>
      <c r="S576" s="3066" t="s">
        <v>3577</v>
      </c>
      <c r="T576" s="3066">
        <v>69.22</v>
      </c>
      <c r="U576" s="3066">
        <v>63663.3</v>
      </c>
      <c r="V576" s="3066" t="s">
        <v>3560</v>
      </c>
      <c r="W576" s="3066" t="s">
        <v>3568</v>
      </c>
      <c r="X576" s="3066">
        <v>1.8</v>
      </c>
      <c r="Y576" s="3066">
        <v>19865.52</v>
      </c>
      <c r="Z576" s="3066" t="s">
        <v>3568</v>
      </c>
      <c r="AA576" s="3066" t="s">
        <v>3560</v>
      </c>
      <c r="AB576" s="3066" t="s">
        <v>5412</v>
      </c>
      <c r="AC576" s="3066" t="s">
        <v>5412</v>
      </c>
      <c r="AD576" s="3066" t="s">
        <v>5412</v>
      </c>
      <c r="AE576" s="3066" t="s">
        <v>3560</v>
      </c>
      <c r="AF576" s="3067">
        <v>70188.789999999994</v>
      </c>
      <c r="AG576" s="3066">
        <v>0</v>
      </c>
      <c r="AH576" s="3066">
        <v>1655.46</v>
      </c>
      <c r="AI576" s="3066">
        <v>0</v>
      </c>
      <c r="AJ576" s="3066">
        <v>5490.16</v>
      </c>
      <c r="AK576" s="3066">
        <v>0</v>
      </c>
      <c r="AL576" s="3066">
        <v>77334.41</v>
      </c>
      <c r="AM576" s="3066">
        <v>0</v>
      </c>
      <c r="AN576" s="3066" t="s">
        <v>3560</v>
      </c>
      <c r="AP576" s="3068">
        <f t="shared" si="8"/>
        <v>76.317049037729689</v>
      </c>
    </row>
    <row r="577" spans="2:42" ht="27" customHeight="1">
      <c r="B577" s="3066">
        <v>585</v>
      </c>
      <c r="C577" s="3066" t="s">
        <v>5408</v>
      </c>
      <c r="D577" s="3066" t="s">
        <v>4053</v>
      </c>
      <c r="E577" s="3066" t="s">
        <v>5413</v>
      </c>
      <c r="F577" s="3066" t="s">
        <v>3917</v>
      </c>
      <c r="G577" s="3066" t="s">
        <v>1373</v>
      </c>
      <c r="H577" s="3066" t="s">
        <v>3560</v>
      </c>
      <c r="I577" s="3066" t="s">
        <v>3712</v>
      </c>
      <c r="J577" s="3066" t="s">
        <v>3713</v>
      </c>
      <c r="K577" s="3066" t="s">
        <v>3560</v>
      </c>
      <c r="L577" s="3066" t="s">
        <v>3714</v>
      </c>
      <c r="M577" s="3066" t="s">
        <v>5414</v>
      </c>
      <c r="N577" s="3066">
        <v>462.4</v>
      </c>
      <c r="O577" s="3066" t="s">
        <v>5411</v>
      </c>
      <c r="P577" s="3066" t="s">
        <v>3566</v>
      </c>
      <c r="Q577" s="3066">
        <v>2</v>
      </c>
      <c r="R577" s="3066">
        <v>0</v>
      </c>
      <c r="S577" s="3066" t="s">
        <v>3577</v>
      </c>
      <c r="T577" s="3066">
        <v>0</v>
      </c>
      <c r="U577" s="3066">
        <v>0</v>
      </c>
      <c r="V577" s="3066" t="s">
        <v>3560</v>
      </c>
      <c r="W577" s="3066" t="s">
        <v>3568</v>
      </c>
      <c r="X577" s="3066">
        <v>1.8</v>
      </c>
      <c r="Y577" s="3066">
        <v>9987.84</v>
      </c>
      <c r="Z577" s="3066" t="s">
        <v>3568</v>
      </c>
      <c r="AA577" s="3066" t="s">
        <v>3560</v>
      </c>
      <c r="AB577" s="3066" t="s">
        <v>5412</v>
      </c>
      <c r="AC577" s="3066" t="s">
        <v>5412</v>
      </c>
      <c r="AD577" s="3066" t="s">
        <v>5412</v>
      </c>
      <c r="AE577" s="3066" t="s">
        <v>3560</v>
      </c>
      <c r="AF577" s="3067">
        <v>0</v>
      </c>
      <c r="AG577" s="3066">
        <v>0</v>
      </c>
      <c r="AH577" s="3066">
        <v>832.32</v>
      </c>
      <c r="AI577" s="3066">
        <v>0</v>
      </c>
      <c r="AJ577" s="3066">
        <v>322.60000000000002</v>
      </c>
      <c r="AK577" s="3066">
        <v>0</v>
      </c>
      <c r="AL577" s="3066">
        <v>1154.92</v>
      </c>
      <c r="AM577" s="3066">
        <v>0</v>
      </c>
      <c r="AN577" s="3066" t="s">
        <v>3560</v>
      </c>
      <c r="AP577" s="3068">
        <f t="shared" si="8"/>
        <v>0</v>
      </c>
    </row>
    <row r="578" spans="2:42" ht="27" customHeight="1">
      <c r="B578" s="3066">
        <v>586</v>
      </c>
      <c r="C578" s="3066" t="s">
        <v>5408</v>
      </c>
      <c r="D578" s="3066" t="s">
        <v>3915</v>
      </c>
      <c r="E578" s="3066" t="s">
        <v>5415</v>
      </c>
      <c r="F578" s="3066" t="s">
        <v>3917</v>
      </c>
      <c r="G578" s="3066" t="s">
        <v>1373</v>
      </c>
      <c r="H578" s="3066" t="s">
        <v>3560</v>
      </c>
      <c r="I578" s="3066" t="s">
        <v>3712</v>
      </c>
      <c r="J578" s="3066" t="s">
        <v>3713</v>
      </c>
      <c r="K578" s="3066" t="s">
        <v>3560</v>
      </c>
      <c r="L578" s="3066" t="s">
        <v>3714</v>
      </c>
      <c r="M578" s="3066" t="s">
        <v>5416</v>
      </c>
      <c r="N578" s="3066">
        <v>462.4</v>
      </c>
      <c r="O578" s="3066" t="s">
        <v>5411</v>
      </c>
      <c r="P578" s="3066" t="s">
        <v>3566</v>
      </c>
      <c r="Q578" s="3066">
        <v>2</v>
      </c>
      <c r="R578" s="3066">
        <v>0</v>
      </c>
      <c r="S578" s="3066" t="s">
        <v>3577</v>
      </c>
      <c r="T578" s="3066">
        <v>0</v>
      </c>
      <c r="U578" s="3066">
        <v>0</v>
      </c>
      <c r="V578" s="3066" t="s">
        <v>3560</v>
      </c>
      <c r="W578" s="3066" t="s">
        <v>3568</v>
      </c>
      <c r="X578" s="3066">
        <v>1.8</v>
      </c>
      <c r="Y578" s="3066">
        <v>9987.84</v>
      </c>
      <c r="Z578" s="3066" t="s">
        <v>3568</v>
      </c>
      <c r="AA578" s="3066" t="s">
        <v>3560</v>
      </c>
      <c r="AB578" s="3066" t="s">
        <v>5412</v>
      </c>
      <c r="AC578" s="3066" t="s">
        <v>5412</v>
      </c>
      <c r="AD578" s="3066" t="s">
        <v>5412</v>
      </c>
      <c r="AE578" s="3066" t="s">
        <v>3560</v>
      </c>
      <c r="AF578" s="3067">
        <v>0</v>
      </c>
      <c r="AG578" s="3066">
        <v>0</v>
      </c>
      <c r="AH578" s="3066">
        <v>832.32</v>
      </c>
      <c r="AI578" s="3066">
        <v>0</v>
      </c>
      <c r="AJ578" s="3066">
        <v>287.41000000000003</v>
      </c>
      <c r="AK578" s="3066">
        <v>0</v>
      </c>
      <c r="AL578" s="3066">
        <v>1119.73</v>
      </c>
      <c r="AM578" s="3066">
        <v>0</v>
      </c>
      <c r="AN578" s="3066" t="s">
        <v>3560</v>
      </c>
      <c r="AP578" s="3068">
        <f t="shared" si="8"/>
        <v>0</v>
      </c>
    </row>
    <row r="579" spans="2:42" ht="27" customHeight="1">
      <c r="B579" s="3066">
        <v>587</v>
      </c>
      <c r="C579" s="3066" t="s">
        <v>5408</v>
      </c>
      <c r="D579" s="3066" t="s">
        <v>3926</v>
      </c>
      <c r="E579" s="3066" t="s">
        <v>5417</v>
      </c>
      <c r="F579" s="3066" t="s">
        <v>3917</v>
      </c>
      <c r="G579" s="3066" t="s">
        <v>1373</v>
      </c>
      <c r="H579" s="3066" t="s">
        <v>3560</v>
      </c>
      <c r="I579" s="3066" t="s">
        <v>3712</v>
      </c>
      <c r="J579" s="3066" t="s">
        <v>3713</v>
      </c>
      <c r="K579" s="3066" t="s">
        <v>3560</v>
      </c>
      <c r="L579" s="3066" t="s">
        <v>3714</v>
      </c>
      <c r="M579" s="3066" t="s">
        <v>5418</v>
      </c>
      <c r="N579" s="3066">
        <v>462.4</v>
      </c>
      <c r="O579" s="3066" t="s">
        <v>5411</v>
      </c>
      <c r="P579" s="3066" t="s">
        <v>3566</v>
      </c>
      <c r="Q579" s="3066">
        <v>2</v>
      </c>
      <c r="R579" s="3066">
        <v>0</v>
      </c>
      <c r="S579" s="3066" t="s">
        <v>3577</v>
      </c>
      <c r="T579" s="3066">
        <v>0</v>
      </c>
      <c r="U579" s="3066">
        <v>0</v>
      </c>
      <c r="V579" s="3066" t="s">
        <v>3560</v>
      </c>
      <c r="W579" s="3066" t="s">
        <v>3568</v>
      </c>
      <c r="X579" s="3066">
        <v>1.8</v>
      </c>
      <c r="Y579" s="3066">
        <v>9987.84</v>
      </c>
      <c r="Z579" s="3066" t="s">
        <v>3568</v>
      </c>
      <c r="AA579" s="3066" t="s">
        <v>3560</v>
      </c>
      <c r="AB579" s="3066" t="s">
        <v>5412</v>
      </c>
      <c r="AC579" s="3066" t="s">
        <v>5412</v>
      </c>
      <c r="AD579" s="3066" t="s">
        <v>5412</v>
      </c>
      <c r="AE579" s="3066" t="s">
        <v>3560</v>
      </c>
      <c r="AF579" s="3067">
        <v>0</v>
      </c>
      <c r="AG579" s="3066">
        <v>0</v>
      </c>
      <c r="AH579" s="3066">
        <v>832.32</v>
      </c>
      <c r="AI579" s="3066">
        <v>0</v>
      </c>
      <c r="AJ579" s="3066">
        <v>305.01</v>
      </c>
      <c r="AK579" s="3066">
        <v>0</v>
      </c>
      <c r="AL579" s="3066">
        <v>1137.33</v>
      </c>
      <c r="AM579" s="3066">
        <v>0</v>
      </c>
      <c r="AN579" s="3066" t="s">
        <v>3560</v>
      </c>
      <c r="AP579" s="3068">
        <f t="shared" si="8"/>
        <v>0</v>
      </c>
    </row>
    <row r="580" spans="2:42" ht="27" customHeight="1">
      <c r="B580" s="3066">
        <v>588</v>
      </c>
      <c r="C580" s="3066" t="s">
        <v>5408</v>
      </c>
      <c r="D580" s="3066" t="s">
        <v>3972</v>
      </c>
      <c r="E580" s="3066" t="s">
        <v>5419</v>
      </c>
      <c r="F580" s="3066" t="s">
        <v>3917</v>
      </c>
      <c r="G580" s="3066" t="s">
        <v>1373</v>
      </c>
      <c r="H580" s="3066" t="s">
        <v>3560</v>
      </c>
      <c r="I580" s="3066" t="s">
        <v>3712</v>
      </c>
      <c r="J580" s="3066" t="s">
        <v>3713</v>
      </c>
      <c r="K580" s="3066" t="s">
        <v>3560</v>
      </c>
      <c r="L580" s="3066" t="s">
        <v>3714</v>
      </c>
      <c r="M580" s="3066" t="s">
        <v>5420</v>
      </c>
      <c r="N580" s="3066">
        <v>462.4</v>
      </c>
      <c r="O580" s="3066" t="s">
        <v>5411</v>
      </c>
      <c r="P580" s="3066" t="s">
        <v>3566</v>
      </c>
      <c r="Q580" s="3066">
        <v>2</v>
      </c>
      <c r="R580" s="3066">
        <v>0</v>
      </c>
      <c r="S580" s="3066" t="s">
        <v>3577</v>
      </c>
      <c r="T580" s="3066">
        <v>0</v>
      </c>
      <c r="U580" s="3066">
        <v>0</v>
      </c>
      <c r="V580" s="3066" t="s">
        <v>3560</v>
      </c>
      <c r="W580" s="3066" t="s">
        <v>3568</v>
      </c>
      <c r="X580" s="3066">
        <v>1.8</v>
      </c>
      <c r="Y580" s="3066">
        <v>9987.84</v>
      </c>
      <c r="Z580" s="3066" t="s">
        <v>3568</v>
      </c>
      <c r="AA580" s="3066" t="s">
        <v>3560</v>
      </c>
      <c r="AB580" s="3066" t="s">
        <v>5412</v>
      </c>
      <c r="AC580" s="3066" t="s">
        <v>5412</v>
      </c>
      <c r="AD580" s="3066" t="s">
        <v>5412</v>
      </c>
      <c r="AE580" s="3066" t="s">
        <v>3560</v>
      </c>
      <c r="AF580" s="3067">
        <v>0</v>
      </c>
      <c r="AG580" s="3066">
        <v>0</v>
      </c>
      <c r="AH580" s="3066">
        <v>832.32</v>
      </c>
      <c r="AI580" s="3066">
        <v>0</v>
      </c>
      <c r="AJ580" s="3066">
        <v>340.2</v>
      </c>
      <c r="AK580" s="3066">
        <v>0</v>
      </c>
      <c r="AL580" s="3066">
        <v>1172.52</v>
      </c>
      <c r="AM580" s="3066">
        <v>0</v>
      </c>
      <c r="AN580" s="3066" t="s">
        <v>3560</v>
      </c>
      <c r="AP580" s="3068">
        <f t="shared" ref="AP580:AP643" si="9">AF580/N580</f>
        <v>0</v>
      </c>
    </row>
    <row r="581" spans="2:42" ht="27" customHeight="1">
      <c r="B581" s="3066">
        <v>589</v>
      </c>
      <c r="C581" s="3066" t="s">
        <v>5408</v>
      </c>
      <c r="D581" s="3066" t="s">
        <v>4209</v>
      </c>
      <c r="E581" s="3066" t="s">
        <v>5421</v>
      </c>
      <c r="F581" s="3066" t="s">
        <v>3917</v>
      </c>
      <c r="G581" s="3066" t="s">
        <v>1373</v>
      </c>
      <c r="H581" s="3066" t="s">
        <v>3560</v>
      </c>
      <c r="I581" s="3066" t="s">
        <v>3712</v>
      </c>
      <c r="J581" s="3066" t="s">
        <v>3713</v>
      </c>
      <c r="K581" s="3066" t="s">
        <v>3560</v>
      </c>
      <c r="L581" s="3066" t="s">
        <v>3714</v>
      </c>
      <c r="M581" s="3066" t="s">
        <v>5422</v>
      </c>
      <c r="N581" s="3066">
        <v>462.4</v>
      </c>
      <c r="O581" s="3066" t="s">
        <v>5411</v>
      </c>
      <c r="P581" s="3066" t="s">
        <v>3566</v>
      </c>
      <c r="Q581" s="3066">
        <v>2</v>
      </c>
      <c r="R581" s="3066">
        <v>0</v>
      </c>
      <c r="S581" s="3066" t="s">
        <v>3577</v>
      </c>
      <c r="T581" s="3066">
        <v>0</v>
      </c>
      <c r="U581" s="3066">
        <v>0</v>
      </c>
      <c r="V581" s="3066" t="s">
        <v>3560</v>
      </c>
      <c r="W581" s="3066" t="s">
        <v>3568</v>
      </c>
      <c r="X581" s="3066">
        <v>1.8</v>
      </c>
      <c r="Y581" s="3066">
        <v>9987.84</v>
      </c>
      <c r="Z581" s="3066" t="s">
        <v>3568</v>
      </c>
      <c r="AA581" s="3066" t="s">
        <v>3560</v>
      </c>
      <c r="AB581" s="3066" t="s">
        <v>5412</v>
      </c>
      <c r="AC581" s="3066" t="s">
        <v>5412</v>
      </c>
      <c r="AD581" s="3066" t="s">
        <v>5412</v>
      </c>
      <c r="AE581" s="3066" t="s">
        <v>3560</v>
      </c>
      <c r="AF581" s="3067">
        <v>0</v>
      </c>
      <c r="AG581" s="3066">
        <v>0</v>
      </c>
      <c r="AH581" s="3066">
        <v>832.32</v>
      </c>
      <c r="AI581" s="3066">
        <v>0</v>
      </c>
      <c r="AJ581" s="3066">
        <v>340.2</v>
      </c>
      <c r="AK581" s="3066">
        <v>0</v>
      </c>
      <c r="AL581" s="3066">
        <v>1172.52</v>
      </c>
      <c r="AM581" s="3066">
        <v>0</v>
      </c>
      <c r="AN581" s="3066" t="s">
        <v>3560</v>
      </c>
      <c r="AP581" s="3068">
        <f t="shared" si="9"/>
        <v>0</v>
      </c>
    </row>
    <row r="582" spans="2:42" ht="27" customHeight="1">
      <c r="B582" s="3066">
        <v>590</v>
      </c>
      <c r="C582" s="3066" t="s">
        <v>5408</v>
      </c>
      <c r="D582" s="3066" t="s">
        <v>5423</v>
      </c>
      <c r="E582" s="3066" t="s">
        <v>5424</v>
      </c>
      <c r="F582" s="3066" t="s">
        <v>3917</v>
      </c>
      <c r="G582" s="3066" t="s">
        <v>1373</v>
      </c>
      <c r="H582" s="3066" t="s">
        <v>3560</v>
      </c>
      <c r="I582" s="3066" t="s">
        <v>5425</v>
      </c>
      <c r="J582" s="3066" t="s">
        <v>3560</v>
      </c>
      <c r="K582" s="3066" t="s">
        <v>3560</v>
      </c>
      <c r="L582" s="3066" t="s">
        <v>5426</v>
      </c>
      <c r="M582" s="3066" t="s">
        <v>5427</v>
      </c>
      <c r="N582" s="3066">
        <v>49.6</v>
      </c>
      <c r="O582" s="3066" t="s">
        <v>3950</v>
      </c>
      <c r="P582" s="3066" t="s">
        <v>3566</v>
      </c>
      <c r="Q582" s="3066">
        <v>1</v>
      </c>
      <c r="R582" s="3066">
        <v>3304</v>
      </c>
      <c r="S582" s="3066" t="s">
        <v>3567</v>
      </c>
      <c r="T582" s="3066">
        <v>21</v>
      </c>
      <c r="U582" s="3066">
        <v>1041.5999999999999</v>
      </c>
      <c r="V582" s="3066" t="s">
        <v>3560</v>
      </c>
      <c r="W582" s="3066" t="s">
        <v>3568</v>
      </c>
      <c r="X582" s="3066">
        <v>2.2000000000000002</v>
      </c>
      <c r="Y582" s="3066">
        <v>1310.4000000000001</v>
      </c>
      <c r="Z582" s="3066" t="s">
        <v>3568</v>
      </c>
      <c r="AA582" s="3066" t="s">
        <v>3560</v>
      </c>
      <c r="AB582" s="3066" t="s">
        <v>3951</v>
      </c>
      <c r="AC582" s="3066" t="s">
        <v>3951</v>
      </c>
      <c r="AD582" s="3066" t="s">
        <v>3951</v>
      </c>
      <c r="AE582" s="3066" t="s">
        <v>3560</v>
      </c>
      <c r="AF582" s="3067">
        <v>1041.5999999999999</v>
      </c>
      <c r="AG582" s="3066">
        <v>1041.5999999999999</v>
      </c>
      <c r="AH582" s="3066">
        <v>109.2</v>
      </c>
      <c r="AI582" s="3066">
        <v>109.2</v>
      </c>
      <c r="AJ582" s="3066">
        <v>64.08</v>
      </c>
      <c r="AK582" s="3066">
        <v>64.08</v>
      </c>
      <c r="AL582" s="3066">
        <v>1214.8800000000001</v>
      </c>
      <c r="AM582" s="3066">
        <v>1214.8800000000001</v>
      </c>
      <c r="AN582" s="3066" t="s">
        <v>3560</v>
      </c>
      <c r="AP582" s="3068">
        <f t="shared" si="9"/>
        <v>20.999999999999996</v>
      </c>
    </row>
    <row r="583" spans="2:42" ht="27" customHeight="1">
      <c r="B583" s="3066">
        <v>591</v>
      </c>
      <c r="C583" s="3066" t="s">
        <v>5408</v>
      </c>
      <c r="D583" s="3066" t="s">
        <v>5423</v>
      </c>
      <c r="E583" s="3066" t="s">
        <v>5428</v>
      </c>
      <c r="F583" s="3066" t="s">
        <v>3917</v>
      </c>
      <c r="G583" s="3066" t="s">
        <v>1373</v>
      </c>
      <c r="H583" s="3066" t="s">
        <v>3560</v>
      </c>
      <c r="I583" s="3066" t="s">
        <v>5429</v>
      </c>
      <c r="J583" s="3066" t="s">
        <v>3560</v>
      </c>
      <c r="K583" s="3066" t="s">
        <v>3560</v>
      </c>
      <c r="L583" s="3066" t="s">
        <v>5430</v>
      </c>
      <c r="M583" s="3066" t="s">
        <v>5431</v>
      </c>
      <c r="N583" s="3066">
        <v>76.400000000000006</v>
      </c>
      <c r="O583" s="3066" t="s">
        <v>3619</v>
      </c>
      <c r="P583" s="3066" t="s">
        <v>3566</v>
      </c>
      <c r="Q583" s="3066">
        <v>1</v>
      </c>
      <c r="R583" s="3066">
        <v>5072</v>
      </c>
      <c r="S583" s="3066" t="s">
        <v>3567</v>
      </c>
      <c r="T583" s="3066">
        <v>20</v>
      </c>
      <c r="U583" s="3066">
        <v>1528</v>
      </c>
      <c r="V583" s="3066" t="s">
        <v>3560</v>
      </c>
      <c r="W583" s="3066" t="s">
        <v>3568</v>
      </c>
      <c r="X583" s="3066">
        <v>2.13</v>
      </c>
      <c r="Y583" s="3066">
        <v>1953.6</v>
      </c>
      <c r="Z583" s="3066" t="s">
        <v>3568</v>
      </c>
      <c r="AA583" s="3066" t="s">
        <v>3560</v>
      </c>
      <c r="AB583" s="3066" t="s">
        <v>3584</v>
      </c>
      <c r="AC583" s="3066" t="s">
        <v>3584</v>
      </c>
      <c r="AD583" s="3066" t="s">
        <v>3584</v>
      </c>
      <c r="AE583" s="3066" t="s">
        <v>3560</v>
      </c>
      <c r="AF583" s="3067">
        <v>1528</v>
      </c>
      <c r="AG583" s="3066">
        <v>1528</v>
      </c>
      <c r="AH583" s="3066">
        <v>162.80000000000001</v>
      </c>
      <c r="AI583" s="3066">
        <v>162.80000000000001</v>
      </c>
      <c r="AJ583" s="3066">
        <v>204.05</v>
      </c>
      <c r="AK583" s="3066">
        <v>204.05</v>
      </c>
      <c r="AL583" s="3066">
        <v>1894.85</v>
      </c>
      <c r="AM583" s="3066">
        <v>1894.85</v>
      </c>
      <c r="AN583" s="3066" t="s">
        <v>3560</v>
      </c>
      <c r="AP583" s="3068">
        <f t="shared" si="9"/>
        <v>20</v>
      </c>
    </row>
    <row r="584" spans="2:42" ht="27" customHeight="1">
      <c r="B584" s="3066">
        <v>592</v>
      </c>
      <c r="C584" s="3066" t="s">
        <v>5408</v>
      </c>
      <c r="D584" s="3066" t="s">
        <v>5423</v>
      </c>
      <c r="E584" s="3066" t="s">
        <v>5432</v>
      </c>
      <c r="F584" s="3066" t="s">
        <v>3917</v>
      </c>
      <c r="G584" s="3066" t="s">
        <v>1373</v>
      </c>
      <c r="H584" s="3066" t="s">
        <v>3560</v>
      </c>
      <c r="I584" s="3066" t="s">
        <v>5433</v>
      </c>
      <c r="J584" s="3066" t="s">
        <v>5433</v>
      </c>
      <c r="K584" s="3066" t="s">
        <v>3560</v>
      </c>
      <c r="L584" s="3066" t="s">
        <v>5434</v>
      </c>
      <c r="M584" s="3066" t="s">
        <v>5435</v>
      </c>
      <c r="N584" s="3066">
        <v>66.2</v>
      </c>
      <c r="O584" s="3066" t="s">
        <v>3919</v>
      </c>
      <c r="P584" s="3066" t="s">
        <v>3566</v>
      </c>
      <c r="Q584" s="3066">
        <v>1</v>
      </c>
      <c r="R584" s="3066">
        <v>14497</v>
      </c>
      <c r="S584" s="3066" t="s">
        <v>3567</v>
      </c>
      <c r="T584" s="3066">
        <v>20</v>
      </c>
      <c r="U584" s="3066">
        <v>1324</v>
      </c>
      <c r="V584" s="3066" t="s">
        <v>3560</v>
      </c>
      <c r="W584" s="3066" t="s">
        <v>3568</v>
      </c>
      <c r="X584" s="3066">
        <v>2.15</v>
      </c>
      <c r="Y584" s="3066">
        <v>1708.8</v>
      </c>
      <c r="Z584" s="3066" t="s">
        <v>3568</v>
      </c>
      <c r="AA584" s="3066" t="s">
        <v>3560</v>
      </c>
      <c r="AB584" s="3066" t="s">
        <v>3920</v>
      </c>
      <c r="AC584" s="3066" t="s">
        <v>3920</v>
      </c>
      <c r="AD584" s="3066" t="s">
        <v>3920</v>
      </c>
      <c r="AE584" s="3066" t="s">
        <v>3560</v>
      </c>
      <c r="AF584" s="3067">
        <v>1324</v>
      </c>
      <c r="AG584" s="3066">
        <v>1324</v>
      </c>
      <c r="AH584" s="3066">
        <v>142.4</v>
      </c>
      <c r="AI584" s="3066">
        <v>142.4</v>
      </c>
      <c r="AJ584" s="3066">
        <v>382.78</v>
      </c>
      <c r="AK584" s="3066">
        <v>382.78</v>
      </c>
      <c r="AL584" s="3066">
        <v>1849.18</v>
      </c>
      <c r="AM584" s="3066">
        <v>1849.18</v>
      </c>
      <c r="AN584" s="3066" t="s">
        <v>3560</v>
      </c>
      <c r="AP584" s="3068">
        <f t="shared" si="9"/>
        <v>20</v>
      </c>
    </row>
    <row r="585" spans="2:42" ht="27" customHeight="1">
      <c r="B585" s="3066">
        <v>593</v>
      </c>
      <c r="C585" s="3066" t="s">
        <v>5408</v>
      </c>
      <c r="D585" s="3066" t="s">
        <v>5423</v>
      </c>
      <c r="E585" s="3066" t="s">
        <v>5432</v>
      </c>
      <c r="F585" s="3066" t="s">
        <v>3917</v>
      </c>
      <c r="G585" s="3066" t="s">
        <v>1373</v>
      </c>
      <c r="H585" s="3066" t="s">
        <v>3560</v>
      </c>
      <c r="I585" s="3066" t="s">
        <v>5433</v>
      </c>
      <c r="J585" s="3066" t="s">
        <v>5433</v>
      </c>
      <c r="K585" s="3066" t="s">
        <v>3560</v>
      </c>
      <c r="L585" s="3066" t="s">
        <v>5434</v>
      </c>
      <c r="M585" s="3066" t="s">
        <v>5435</v>
      </c>
      <c r="N585" s="3066">
        <v>66.2</v>
      </c>
      <c r="O585" s="3066" t="s">
        <v>5230</v>
      </c>
      <c r="P585" s="3066" t="s">
        <v>4096</v>
      </c>
      <c r="Q585" s="3066">
        <v>1</v>
      </c>
      <c r="R585" s="3066">
        <v>14497</v>
      </c>
      <c r="S585" s="3066" t="s">
        <v>3567</v>
      </c>
      <c r="T585" s="3066">
        <v>21</v>
      </c>
      <c r="U585" s="3066">
        <v>1390.2</v>
      </c>
      <c r="V585" s="3066" t="s">
        <v>3560</v>
      </c>
      <c r="W585" s="3066" t="s">
        <v>3568</v>
      </c>
      <c r="X585" s="3066">
        <v>2.15</v>
      </c>
      <c r="Y585" s="3066">
        <v>1708.8</v>
      </c>
      <c r="Z585" s="3066" t="s">
        <v>3568</v>
      </c>
      <c r="AA585" s="3066" t="s">
        <v>3560</v>
      </c>
      <c r="AB585" s="3066" t="s">
        <v>4868</v>
      </c>
      <c r="AC585" s="3066" t="s">
        <v>4868</v>
      </c>
      <c r="AD585" s="3066" t="s">
        <v>4868</v>
      </c>
      <c r="AE585" s="3066" t="s">
        <v>3560</v>
      </c>
      <c r="AF585" s="3067">
        <v>1324</v>
      </c>
      <c r="AG585" s="3066">
        <v>1324</v>
      </c>
      <c r="AH585" s="3066">
        <v>142.4</v>
      </c>
      <c r="AI585" s="3066">
        <v>142.4</v>
      </c>
      <c r="AJ585" s="3066">
        <v>382.78</v>
      </c>
      <c r="AK585" s="3066">
        <v>382.78</v>
      </c>
      <c r="AL585" s="3066">
        <v>1849.18</v>
      </c>
      <c r="AM585" s="3066">
        <v>1849.18</v>
      </c>
      <c r="AN585" s="3066" t="s">
        <v>3560</v>
      </c>
      <c r="AP585" s="3068">
        <f t="shared" si="9"/>
        <v>20</v>
      </c>
    </row>
    <row r="586" spans="2:42" ht="27" customHeight="1">
      <c r="B586" s="3066">
        <v>594</v>
      </c>
      <c r="C586" s="3066" t="s">
        <v>5408</v>
      </c>
      <c r="D586" s="3066" t="s">
        <v>5423</v>
      </c>
      <c r="E586" s="3066" t="s">
        <v>5436</v>
      </c>
      <c r="F586" s="3066" t="s">
        <v>3917</v>
      </c>
      <c r="G586" s="3066" t="s">
        <v>1373</v>
      </c>
      <c r="H586" s="3066" t="s">
        <v>3560</v>
      </c>
      <c r="I586" s="3066" t="s">
        <v>5437</v>
      </c>
      <c r="J586" s="3066" t="s">
        <v>3560</v>
      </c>
      <c r="K586" s="3066" t="s">
        <v>3560</v>
      </c>
      <c r="L586" s="3066" t="s">
        <v>5438</v>
      </c>
      <c r="M586" s="3066" t="s">
        <v>5439</v>
      </c>
      <c r="N586" s="3066">
        <v>66</v>
      </c>
      <c r="O586" s="3066" t="s">
        <v>3919</v>
      </c>
      <c r="P586" s="3066" t="s">
        <v>3566</v>
      </c>
      <c r="Q586" s="3066">
        <v>1</v>
      </c>
      <c r="R586" s="3066">
        <v>7640</v>
      </c>
      <c r="S586" s="3066" t="s">
        <v>3567</v>
      </c>
      <c r="T586" s="3066">
        <v>20</v>
      </c>
      <c r="U586" s="3066">
        <v>1320</v>
      </c>
      <c r="V586" s="3066" t="s">
        <v>3560</v>
      </c>
      <c r="W586" s="3066" t="s">
        <v>3568</v>
      </c>
      <c r="X586" s="3066">
        <v>2.15</v>
      </c>
      <c r="Y586" s="3066">
        <v>1704</v>
      </c>
      <c r="Z586" s="3066" t="s">
        <v>3568</v>
      </c>
      <c r="AA586" s="3066" t="s">
        <v>3560</v>
      </c>
      <c r="AB586" s="3066" t="s">
        <v>3920</v>
      </c>
      <c r="AC586" s="3066" t="s">
        <v>3920</v>
      </c>
      <c r="AD586" s="3066" t="s">
        <v>3920</v>
      </c>
      <c r="AE586" s="3066" t="s">
        <v>3560</v>
      </c>
      <c r="AF586" s="3067">
        <v>1320</v>
      </c>
      <c r="AG586" s="3066">
        <v>0</v>
      </c>
      <c r="AH586" s="3066">
        <v>142</v>
      </c>
      <c r="AI586" s="3066">
        <v>0</v>
      </c>
      <c r="AJ586" s="3066">
        <v>54.56</v>
      </c>
      <c r="AK586" s="3066">
        <v>0</v>
      </c>
      <c r="AL586" s="3066">
        <v>1516.56</v>
      </c>
      <c r="AM586" s="3066">
        <v>0</v>
      </c>
      <c r="AN586" s="3066" t="s">
        <v>3560</v>
      </c>
      <c r="AP586" s="3068">
        <f t="shared" si="9"/>
        <v>20</v>
      </c>
    </row>
    <row r="587" spans="2:42" ht="27" customHeight="1">
      <c r="B587" s="3066">
        <v>595</v>
      </c>
      <c r="C587" s="3066" t="s">
        <v>5408</v>
      </c>
      <c r="D587" s="3066" t="s">
        <v>5423</v>
      </c>
      <c r="E587" s="3066" t="s">
        <v>5436</v>
      </c>
      <c r="F587" s="3066" t="s">
        <v>3917</v>
      </c>
      <c r="G587" s="3066" t="s">
        <v>1373</v>
      </c>
      <c r="H587" s="3066" t="s">
        <v>3560</v>
      </c>
      <c r="I587" s="3066" t="s">
        <v>5437</v>
      </c>
      <c r="J587" s="3066" t="s">
        <v>3560</v>
      </c>
      <c r="K587" s="3066" t="s">
        <v>3560</v>
      </c>
      <c r="L587" s="3066" t="s">
        <v>5438</v>
      </c>
      <c r="M587" s="3066" t="s">
        <v>5439</v>
      </c>
      <c r="N587" s="3066">
        <v>66</v>
      </c>
      <c r="O587" s="3066" t="s">
        <v>5230</v>
      </c>
      <c r="P587" s="3066" t="s">
        <v>4096</v>
      </c>
      <c r="Q587" s="3066">
        <v>1</v>
      </c>
      <c r="R587" s="3066">
        <v>7640</v>
      </c>
      <c r="S587" s="3066" t="s">
        <v>3567</v>
      </c>
      <c r="T587" s="3066">
        <v>21</v>
      </c>
      <c r="U587" s="3066">
        <v>1386</v>
      </c>
      <c r="V587" s="3066" t="s">
        <v>3560</v>
      </c>
      <c r="W587" s="3066" t="s">
        <v>3568</v>
      </c>
      <c r="X587" s="3066">
        <v>2.15</v>
      </c>
      <c r="Y587" s="3066">
        <v>1704</v>
      </c>
      <c r="Z587" s="3066" t="s">
        <v>3568</v>
      </c>
      <c r="AA587" s="3066" t="s">
        <v>3560</v>
      </c>
      <c r="AB587" s="3066" t="s">
        <v>4868</v>
      </c>
      <c r="AC587" s="3066" t="s">
        <v>4868</v>
      </c>
      <c r="AD587" s="3066" t="s">
        <v>4868</v>
      </c>
      <c r="AE587" s="3066" t="s">
        <v>3560</v>
      </c>
      <c r="AF587" s="3067">
        <v>1320</v>
      </c>
      <c r="AG587" s="3066">
        <v>0</v>
      </c>
      <c r="AH587" s="3066">
        <v>142</v>
      </c>
      <c r="AI587" s="3066">
        <v>0</v>
      </c>
      <c r="AJ587" s="3066">
        <v>54.56</v>
      </c>
      <c r="AK587" s="3066">
        <v>0</v>
      </c>
      <c r="AL587" s="3066">
        <v>1516.56</v>
      </c>
      <c r="AM587" s="3066">
        <v>0</v>
      </c>
      <c r="AN587" s="3066" t="s">
        <v>3560</v>
      </c>
      <c r="AP587" s="3068">
        <f t="shared" si="9"/>
        <v>20</v>
      </c>
    </row>
    <row r="588" spans="2:42" ht="27" customHeight="1">
      <c r="B588" s="3066">
        <v>596</v>
      </c>
      <c r="C588" s="3066" t="s">
        <v>5408</v>
      </c>
      <c r="D588" s="3066" t="s">
        <v>5423</v>
      </c>
      <c r="E588" s="3066" t="s">
        <v>5440</v>
      </c>
      <c r="F588" s="3066" t="s">
        <v>3917</v>
      </c>
      <c r="G588" s="3066" t="s">
        <v>1373</v>
      </c>
      <c r="H588" s="3066" t="s">
        <v>3560</v>
      </c>
      <c r="I588" s="3066" t="s">
        <v>5441</v>
      </c>
      <c r="J588" s="3066" t="s">
        <v>4803</v>
      </c>
      <c r="K588" s="3066" t="s">
        <v>3560</v>
      </c>
      <c r="L588" s="3066" t="s">
        <v>4804</v>
      </c>
      <c r="M588" s="3066" t="s">
        <v>5442</v>
      </c>
      <c r="N588" s="3066">
        <v>49.6</v>
      </c>
      <c r="O588" s="3066" t="s">
        <v>3785</v>
      </c>
      <c r="P588" s="3066" t="s">
        <v>3566</v>
      </c>
      <c r="Q588" s="3066">
        <v>1</v>
      </c>
      <c r="R588" s="3066">
        <v>6249.6</v>
      </c>
      <c r="S588" s="3066" t="s">
        <v>3567</v>
      </c>
      <c r="T588" s="3066">
        <v>20</v>
      </c>
      <c r="U588" s="3066">
        <v>992</v>
      </c>
      <c r="V588" s="3066" t="s">
        <v>3560</v>
      </c>
      <c r="W588" s="3066" t="s">
        <v>3568</v>
      </c>
      <c r="X588" s="3066">
        <v>2</v>
      </c>
      <c r="Y588" s="3066">
        <v>1190.4000000000001</v>
      </c>
      <c r="Z588" s="3066" t="s">
        <v>3568</v>
      </c>
      <c r="AA588" s="3066" t="s">
        <v>3560</v>
      </c>
      <c r="AB588" s="3066" t="s">
        <v>3591</v>
      </c>
      <c r="AC588" s="3066" t="s">
        <v>3591</v>
      </c>
      <c r="AD588" s="3066" t="s">
        <v>3591</v>
      </c>
      <c r="AE588" s="3066" t="s">
        <v>3560</v>
      </c>
      <c r="AF588" s="3067">
        <v>992</v>
      </c>
      <c r="AG588" s="3066">
        <v>992</v>
      </c>
      <c r="AH588" s="3066">
        <v>99.2</v>
      </c>
      <c r="AI588" s="3066">
        <v>99.2</v>
      </c>
      <c r="AJ588" s="3066">
        <v>36.97</v>
      </c>
      <c r="AK588" s="3066">
        <v>36.97</v>
      </c>
      <c r="AL588" s="3066">
        <v>1128.17</v>
      </c>
      <c r="AM588" s="3066">
        <v>1128.17</v>
      </c>
      <c r="AN588" s="3066" t="s">
        <v>3560</v>
      </c>
      <c r="AP588" s="3068">
        <f t="shared" si="9"/>
        <v>20</v>
      </c>
    </row>
    <row r="589" spans="2:42" ht="27" customHeight="1">
      <c r="B589" s="3066">
        <v>597</v>
      </c>
      <c r="C589" s="3066" t="s">
        <v>5408</v>
      </c>
      <c r="D589" s="3066" t="s">
        <v>5423</v>
      </c>
      <c r="E589" s="3066" t="s">
        <v>5443</v>
      </c>
      <c r="F589" s="3066" t="s">
        <v>3917</v>
      </c>
      <c r="G589" s="3066" t="s">
        <v>1373</v>
      </c>
      <c r="H589" s="3066" t="s">
        <v>3560</v>
      </c>
      <c r="I589" s="3066" t="s">
        <v>5444</v>
      </c>
      <c r="J589" s="3066" t="s">
        <v>3560</v>
      </c>
      <c r="K589" s="3066" t="s">
        <v>3560</v>
      </c>
      <c r="L589" s="3066" t="s">
        <v>5445</v>
      </c>
      <c r="M589" s="3066" t="s">
        <v>5446</v>
      </c>
      <c r="N589" s="3066">
        <v>76.400000000000006</v>
      </c>
      <c r="O589" s="3066" t="s">
        <v>3619</v>
      </c>
      <c r="P589" s="3066" t="s">
        <v>3566</v>
      </c>
      <c r="Q589" s="3066">
        <v>1</v>
      </c>
      <c r="R589" s="3066">
        <v>14330</v>
      </c>
      <c r="S589" s="3066" t="s">
        <v>3567</v>
      </c>
      <c r="T589" s="3066">
        <v>20</v>
      </c>
      <c r="U589" s="3066">
        <v>1528</v>
      </c>
      <c r="V589" s="3066" t="s">
        <v>3560</v>
      </c>
      <c r="W589" s="3066" t="s">
        <v>3568</v>
      </c>
      <c r="X589" s="3066">
        <v>2.13</v>
      </c>
      <c r="Y589" s="3066">
        <v>1953.6</v>
      </c>
      <c r="Z589" s="3066" t="s">
        <v>3568</v>
      </c>
      <c r="AA589" s="3066" t="s">
        <v>3560</v>
      </c>
      <c r="AB589" s="3066" t="s">
        <v>3584</v>
      </c>
      <c r="AC589" s="3066" t="s">
        <v>3584</v>
      </c>
      <c r="AD589" s="3066" t="s">
        <v>3584</v>
      </c>
      <c r="AE589" s="3066" t="s">
        <v>3560</v>
      </c>
      <c r="AF589" s="3067">
        <v>1528</v>
      </c>
      <c r="AG589" s="3066">
        <v>1528</v>
      </c>
      <c r="AH589" s="3066">
        <v>162.80000000000001</v>
      </c>
      <c r="AI589" s="3066">
        <v>162.80000000000001</v>
      </c>
      <c r="AJ589" s="3066">
        <v>227.68</v>
      </c>
      <c r="AK589" s="3066">
        <v>227.68</v>
      </c>
      <c r="AL589" s="3066">
        <v>1918.48</v>
      </c>
      <c r="AM589" s="3066">
        <v>1918.48</v>
      </c>
      <c r="AN589" s="3066" t="s">
        <v>3560</v>
      </c>
      <c r="AP589" s="3068">
        <f t="shared" si="9"/>
        <v>20</v>
      </c>
    </row>
    <row r="590" spans="2:42" ht="27" customHeight="1">
      <c r="B590" s="3066">
        <v>598</v>
      </c>
      <c r="C590" s="3066" t="s">
        <v>5408</v>
      </c>
      <c r="D590" s="3066" t="s">
        <v>5423</v>
      </c>
      <c r="E590" s="3066" t="s">
        <v>5447</v>
      </c>
      <c r="F590" s="3066" t="s">
        <v>3917</v>
      </c>
      <c r="G590" s="3066" t="s">
        <v>1373</v>
      </c>
      <c r="H590" s="3066" t="s">
        <v>3560</v>
      </c>
      <c r="I590" s="3066" t="s">
        <v>5448</v>
      </c>
      <c r="J590" s="3066" t="s">
        <v>3560</v>
      </c>
      <c r="K590" s="3066" t="s">
        <v>3560</v>
      </c>
      <c r="L590" s="3066" t="s">
        <v>5449</v>
      </c>
      <c r="M590" s="3066" t="s">
        <v>5450</v>
      </c>
      <c r="N590" s="3066">
        <v>66.2</v>
      </c>
      <c r="O590" s="3066" t="s">
        <v>3619</v>
      </c>
      <c r="P590" s="3066" t="s">
        <v>3566</v>
      </c>
      <c r="Q590" s="3066">
        <v>1</v>
      </c>
      <c r="R590" s="3066">
        <v>8112</v>
      </c>
      <c r="S590" s="3066" t="s">
        <v>3567</v>
      </c>
      <c r="T590" s="3066">
        <v>20</v>
      </c>
      <c r="U590" s="3066">
        <v>1324</v>
      </c>
      <c r="V590" s="3066" t="s">
        <v>3560</v>
      </c>
      <c r="W590" s="3066" t="s">
        <v>3568</v>
      </c>
      <c r="X590" s="3066">
        <v>2.15</v>
      </c>
      <c r="Y590" s="3066">
        <v>1708.8</v>
      </c>
      <c r="Z590" s="3066" t="s">
        <v>3568</v>
      </c>
      <c r="AA590" s="3066" t="s">
        <v>3560</v>
      </c>
      <c r="AB590" s="3066" t="s">
        <v>3584</v>
      </c>
      <c r="AC590" s="3066" t="s">
        <v>3584</v>
      </c>
      <c r="AD590" s="3066" t="s">
        <v>3584</v>
      </c>
      <c r="AE590" s="3066" t="s">
        <v>3560</v>
      </c>
      <c r="AF590" s="3067">
        <v>1324</v>
      </c>
      <c r="AG590" s="3066">
        <v>1324</v>
      </c>
      <c r="AH590" s="3066">
        <v>142.4</v>
      </c>
      <c r="AI590" s="3066">
        <v>142.4</v>
      </c>
      <c r="AJ590" s="3066">
        <v>224.44</v>
      </c>
      <c r="AK590" s="3066">
        <v>224.44</v>
      </c>
      <c r="AL590" s="3066">
        <v>1690.84</v>
      </c>
      <c r="AM590" s="3066">
        <v>1690.84</v>
      </c>
      <c r="AN590" s="3066" t="s">
        <v>3560</v>
      </c>
      <c r="AP590" s="3068">
        <f t="shared" si="9"/>
        <v>20</v>
      </c>
    </row>
    <row r="591" spans="2:42" ht="27" customHeight="1">
      <c r="B591" s="3066">
        <v>599</v>
      </c>
      <c r="C591" s="3066" t="s">
        <v>5408</v>
      </c>
      <c r="D591" s="3066" t="s">
        <v>5423</v>
      </c>
      <c r="E591" s="3066" t="s">
        <v>5451</v>
      </c>
      <c r="F591" s="3066" t="s">
        <v>3917</v>
      </c>
      <c r="G591" s="3066" t="s">
        <v>3560</v>
      </c>
      <c r="H591" s="3066" t="s">
        <v>3560</v>
      </c>
      <c r="I591" s="3066" t="s">
        <v>5452</v>
      </c>
      <c r="J591" s="3066" t="s">
        <v>5452</v>
      </c>
      <c r="K591" s="3066" t="s">
        <v>3560</v>
      </c>
      <c r="L591" s="3066" t="s">
        <v>5453</v>
      </c>
      <c r="M591" s="3066" t="s">
        <v>5454</v>
      </c>
      <c r="N591" s="3066">
        <v>66</v>
      </c>
      <c r="O591" s="3066" t="s">
        <v>4488</v>
      </c>
      <c r="P591" s="3066" t="s">
        <v>3566</v>
      </c>
      <c r="Q591" s="3066">
        <v>1</v>
      </c>
      <c r="R591" s="3066">
        <v>4386</v>
      </c>
      <c r="S591" s="3066" t="s">
        <v>3567</v>
      </c>
      <c r="T591" s="3066">
        <v>20</v>
      </c>
      <c r="U591" s="3066">
        <v>1320</v>
      </c>
      <c r="V591" s="3066" t="s">
        <v>3560</v>
      </c>
      <c r="W591" s="3066" t="s">
        <v>3568</v>
      </c>
      <c r="X591" s="3066">
        <v>2.15</v>
      </c>
      <c r="Y591" s="3066">
        <v>1704</v>
      </c>
      <c r="Z591" s="3066" t="s">
        <v>3568</v>
      </c>
      <c r="AA591" s="3066" t="s">
        <v>3560</v>
      </c>
      <c r="AB591" s="3066" t="s">
        <v>4489</v>
      </c>
      <c r="AC591" s="3066" t="s">
        <v>4489</v>
      </c>
      <c r="AD591" s="3066" t="s">
        <v>4489</v>
      </c>
      <c r="AE591" s="3066" t="s">
        <v>3560</v>
      </c>
      <c r="AF591" s="3067">
        <v>0</v>
      </c>
      <c r="AG591" s="3066">
        <v>0</v>
      </c>
      <c r="AH591" s="3066">
        <v>0</v>
      </c>
      <c r="AI591" s="3066">
        <v>0</v>
      </c>
      <c r="AJ591" s="3066">
        <v>62.64</v>
      </c>
      <c r="AK591" s="3066">
        <v>0</v>
      </c>
      <c r="AL591" s="3066">
        <v>62.64</v>
      </c>
      <c r="AM591" s="3066">
        <v>0</v>
      </c>
      <c r="AN591" s="3066" t="s">
        <v>3560</v>
      </c>
      <c r="AP591" s="3068">
        <f t="shared" si="9"/>
        <v>0</v>
      </c>
    </row>
    <row r="592" spans="2:42" ht="27" customHeight="1">
      <c r="B592" s="3066">
        <v>600</v>
      </c>
      <c r="C592" s="3066" t="s">
        <v>5408</v>
      </c>
      <c r="D592" s="3066" t="s">
        <v>5423</v>
      </c>
      <c r="E592" s="3066" t="s">
        <v>5455</v>
      </c>
      <c r="F592" s="3066" t="s">
        <v>3917</v>
      </c>
      <c r="G592" s="3066" t="s">
        <v>1373</v>
      </c>
      <c r="H592" s="3066" t="s">
        <v>3560</v>
      </c>
      <c r="I592" s="3066" t="s">
        <v>3657</v>
      </c>
      <c r="J592" s="3066" t="s">
        <v>3658</v>
      </c>
      <c r="K592" s="3066" t="s">
        <v>3560</v>
      </c>
      <c r="L592" s="3066" t="s">
        <v>3659</v>
      </c>
      <c r="M592" s="3066" t="s">
        <v>5456</v>
      </c>
      <c r="N592" s="3066">
        <v>49.6</v>
      </c>
      <c r="O592" s="3066" t="s">
        <v>3931</v>
      </c>
      <c r="P592" s="3066" t="s">
        <v>3566</v>
      </c>
      <c r="Q592" s="3066">
        <v>1</v>
      </c>
      <c r="R592" s="3066">
        <v>3273.6</v>
      </c>
      <c r="S592" s="3066" t="s">
        <v>3567</v>
      </c>
      <c r="T592" s="3066">
        <v>20</v>
      </c>
      <c r="U592" s="3066">
        <v>992</v>
      </c>
      <c r="V592" s="3066" t="s">
        <v>3560</v>
      </c>
      <c r="W592" s="3066" t="s">
        <v>3568</v>
      </c>
      <c r="X592" s="3066">
        <v>2</v>
      </c>
      <c r="Y592" s="3066">
        <v>1190.4000000000001</v>
      </c>
      <c r="Z592" s="3066" t="s">
        <v>3568</v>
      </c>
      <c r="AA592" s="3066" t="s">
        <v>3560</v>
      </c>
      <c r="AB592" s="3066" t="s">
        <v>3932</v>
      </c>
      <c r="AC592" s="3066" t="s">
        <v>3932</v>
      </c>
      <c r="AD592" s="3066" t="s">
        <v>3932</v>
      </c>
      <c r="AE592" s="3066" t="s">
        <v>3560</v>
      </c>
      <c r="AF592" s="3067">
        <v>992</v>
      </c>
      <c r="AG592" s="3066">
        <v>992</v>
      </c>
      <c r="AH592" s="3066">
        <v>99.2</v>
      </c>
      <c r="AI592" s="3066">
        <v>99.2</v>
      </c>
      <c r="AJ592" s="3066">
        <v>259.91000000000003</v>
      </c>
      <c r="AK592" s="3066">
        <v>259.91000000000003</v>
      </c>
      <c r="AL592" s="3066">
        <v>1351.11</v>
      </c>
      <c r="AM592" s="3066">
        <v>1351.11</v>
      </c>
      <c r="AN592" s="3066" t="s">
        <v>3560</v>
      </c>
      <c r="AP592" s="3068">
        <f t="shared" si="9"/>
        <v>20</v>
      </c>
    </row>
    <row r="593" spans="2:42" ht="27" customHeight="1">
      <c r="B593" s="3066">
        <v>601</v>
      </c>
      <c r="C593" s="3066" t="s">
        <v>5408</v>
      </c>
      <c r="D593" s="3066" t="s">
        <v>5423</v>
      </c>
      <c r="E593" s="3066" t="s">
        <v>5457</v>
      </c>
      <c r="F593" s="3066" t="s">
        <v>3917</v>
      </c>
      <c r="G593" s="3066" t="s">
        <v>1373</v>
      </c>
      <c r="H593" s="3066" t="s">
        <v>3560</v>
      </c>
      <c r="I593" s="3066" t="s">
        <v>3759</v>
      </c>
      <c r="J593" s="3066" t="s">
        <v>3760</v>
      </c>
      <c r="K593" s="3066" t="s">
        <v>3560</v>
      </c>
      <c r="L593" s="3066" t="s">
        <v>3761</v>
      </c>
      <c r="M593" s="3066" t="s">
        <v>5458</v>
      </c>
      <c r="N593" s="3066">
        <v>76.400000000000006</v>
      </c>
      <c r="O593" s="3066" t="s">
        <v>5459</v>
      </c>
      <c r="P593" s="3066" t="s">
        <v>3566</v>
      </c>
      <c r="Q593" s="3066">
        <v>0</v>
      </c>
      <c r="R593" s="3066">
        <v>5271.6</v>
      </c>
      <c r="S593" s="3066" t="s">
        <v>3567</v>
      </c>
      <c r="T593" s="3066">
        <v>21</v>
      </c>
      <c r="U593" s="3066">
        <v>1604.4</v>
      </c>
      <c r="V593" s="3066" t="s">
        <v>3560</v>
      </c>
      <c r="W593" s="3066" t="s">
        <v>3568</v>
      </c>
      <c r="X593" s="3066">
        <v>2</v>
      </c>
      <c r="Y593" s="3066">
        <v>1833.6</v>
      </c>
      <c r="Z593" s="3066" t="s">
        <v>3568</v>
      </c>
      <c r="AA593" s="3066" t="s">
        <v>3560</v>
      </c>
      <c r="AB593" s="3066" t="s">
        <v>3951</v>
      </c>
      <c r="AC593" s="3066" t="s">
        <v>3951</v>
      </c>
      <c r="AD593" s="3066" t="s">
        <v>3951</v>
      </c>
      <c r="AE593" s="3066" t="s">
        <v>3560</v>
      </c>
      <c r="AF593" s="3067">
        <v>1604.4</v>
      </c>
      <c r="AG593" s="3066">
        <v>0</v>
      </c>
      <c r="AH593" s="3066">
        <v>152.80000000000001</v>
      </c>
      <c r="AI593" s="3066">
        <v>0</v>
      </c>
      <c r="AJ593" s="3066">
        <v>0</v>
      </c>
      <c r="AK593" s="3066">
        <v>0</v>
      </c>
      <c r="AL593" s="3066">
        <v>1757.2</v>
      </c>
      <c r="AM593" s="3066">
        <v>0</v>
      </c>
      <c r="AN593" s="3066" t="s">
        <v>3560</v>
      </c>
      <c r="AP593" s="3068">
        <f t="shared" si="9"/>
        <v>21</v>
      </c>
    </row>
    <row r="594" spans="2:42" ht="27" customHeight="1">
      <c r="B594" s="3066">
        <v>602</v>
      </c>
      <c r="C594" s="3066" t="s">
        <v>5408</v>
      </c>
      <c r="D594" s="3066" t="s">
        <v>5423</v>
      </c>
      <c r="E594" s="3066" t="s">
        <v>5460</v>
      </c>
      <c r="F594" s="3066" t="s">
        <v>3917</v>
      </c>
      <c r="G594" s="3066" t="s">
        <v>1373</v>
      </c>
      <c r="H594" s="3066" t="s">
        <v>3560</v>
      </c>
      <c r="I594" s="3066" t="s">
        <v>3860</v>
      </c>
      <c r="J594" s="3066" t="s">
        <v>3861</v>
      </c>
      <c r="K594" s="3066" t="s">
        <v>3560</v>
      </c>
      <c r="L594" s="3066" t="s">
        <v>3862</v>
      </c>
      <c r="M594" s="3066" t="s">
        <v>5461</v>
      </c>
      <c r="N594" s="3066">
        <v>66.2</v>
      </c>
      <c r="O594" s="3066" t="s">
        <v>3619</v>
      </c>
      <c r="P594" s="3066" t="s">
        <v>3566</v>
      </c>
      <c r="Q594" s="3066">
        <v>1</v>
      </c>
      <c r="R594" s="3066">
        <v>0</v>
      </c>
      <c r="S594" s="3066" t="s">
        <v>3577</v>
      </c>
      <c r="T594" s="3066">
        <v>20</v>
      </c>
      <c r="U594" s="3066">
        <v>1324</v>
      </c>
      <c r="V594" s="3066" t="s">
        <v>3560</v>
      </c>
      <c r="W594" s="3066" t="s">
        <v>3568</v>
      </c>
      <c r="X594" s="3066">
        <v>2</v>
      </c>
      <c r="Y594" s="3066">
        <v>1588.8</v>
      </c>
      <c r="Z594" s="3066" t="s">
        <v>3568</v>
      </c>
      <c r="AA594" s="3066" t="s">
        <v>3560</v>
      </c>
      <c r="AB594" s="3066" t="s">
        <v>3584</v>
      </c>
      <c r="AC594" s="3066" t="s">
        <v>3584</v>
      </c>
      <c r="AD594" s="3066" t="s">
        <v>3584</v>
      </c>
      <c r="AE594" s="3066" t="s">
        <v>3560</v>
      </c>
      <c r="AF594" s="3067">
        <v>1324</v>
      </c>
      <c r="AG594" s="3066">
        <v>1324</v>
      </c>
      <c r="AH594" s="3066">
        <v>132.4</v>
      </c>
      <c r="AI594" s="3066">
        <v>132.4</v>
      </c>
      <c r="AJ594" s="3066">
        <v>190.25</v>
      </c>
      <c r="AK594" s="3066">
        <v>190.25</v>
      </c>
      <c r="AL594" s="3066">
        <v>1646.65</v>
      </c>
      <c r="AM594" s="3066">
        <v>1646.65</v>
      </c>
      <c r="AN594" s="3066" t="s">
        <v>3560</v>
      </c>
      <c r="AP594" s="3068">
        <f t="shared" si="9"/>
        <v>20</v>
      </c>
    </row>
    <row r="595" spans="2:42" ht="27" customHeight="1">
      <c r="B595" s="3066">
        <v>603</v>
      </c>
      <c r="C595" s="3066" t="s">
        <v>5408</v>
      </c>
      <c r="D595" s="3066" t="s">
        <v>5423</v>
      </c>
      <c r="E595" s="3066" t="s">
        <v>5462</v>
      </c>
      <c r="F595" s="3066" t="s">
        <v>3917</v>
      </c>
      <c r="G595" s="3066" t="s">
        <v>1373</v>
      </c>
      <c r="H595" s="3066" t="s">
        <v>3560</v>
      </c>
      <c r="I595" s="3066" t="s">
        <v>5463</v>
      </c>
      <c r="J595" s="3066" t="s">
        <v>3560</v>
      </c>
      <c r="K595" s="3066" t="s">
        <v>3560</v>
      </c>
      <c r="L595" s="3066" t="s">
        <v>5464</v>
      </c>
      <c r="M595" s="3066" t="s">
        <v>5465</v>
      </c>
      <c r="N595" s="3066">
        <v>66</v>
      </c>
      <c r="O595" s="3066" t="s">
        <v>3619</v>
      </c>
      <c r="P595" s="3066" t="s">
        <v>3566</v>
      </c>
      <c r="Q595" s="3066">
        <v>1</v>
      </c>
      <c r="R595" s="3066">
        <v>4851</v>
      </c>
      <c r="S595" s="3066" t="s">
        <v>3567</v>
      </c>
      <c r="T595" s="3066">
        <v>20</v>
      </c>
      <c r="U595" s="3066">
        <v>1320</v>
      </c>
      <c r="V595" s="3066" t="s">
        <v>3560</v>
      </c>
      <c r="W595" s="3066" t="s">
        <v>3568</v>
      </c>
      <c r="X595" s="3066">
        <v>2.15</v>
      </c>
      <c r="Y595" s="3066">
        <v>1704</v>
      </c>
      <c r="Z595" s="3066" t="s">
        <v>3568</v>
      </c>
      <c r="AA595" s="3066" t="s">
        <v>3560</v>
      </c>
      <c r="AB595" s="3066" t="s">
        <v>3584</v>
      </c>
      <c r="AC595" s="3066" t="s">
        <v>3584</v>
      </c>
      <c r="AD595" s="3066" t="s">
        <v>3584</v>
      </c>
      <c r="AE595" s="3066" t="s">
        <v>3560</v>
      </c>
      <c r="AF595" s="3067">
        <v>1320</v>
      </c>
      <c r="AG595" s="3066">
        <v>1320</v>
      </c>
      <c r="AH595" s="3066">
        <v>142</v>
      </c>
      <c r="AI595" s="3066">
        <v>142</v>
      </c>
      <c r="AJ595" s="3066">
        <v>64.930000000000007</v>
      </c>
      <c r="AK595" s="3066">
        <v>64.930000000000007</v>
      </c>
      <c r="AL595" s="3066">
        <v>1526.93</v>
      </c>
      <c r="AM595" s="3066">
        <v>1526.93</v>
      </c>
      <c r="AN595" s="3066" t="s">
        <v>3560</v>
      </c>
      <c r="AP595" s="3068">
        <f t="shared" si="9"/>
        <v>20</v>
      </c>
    </row>
    <row r="596" spans="2:42" ht="27" customHeight="1">
      <c r="B596" s="3066">
        <v>604</v>
      </c>
      <c r="C596" s="3066" t="s">
        <v>5408</v>
      </c>
      <c r="D596" s="3066" t="s">
        <v>5423</v>
      </c>
      <c r="E596" s="3066" t="s">
        <v>5466</v>
      </c>
      <c r="F596" s="3066" t="s">
        <v>3917</v>
      </c>
      <c r="G596" s="3066" t="s">
        <v>1373</v>
      </c>
      <c r="H596" s="3066" t="s">
        <v>3560</v>
      </c>
      <c r="I596" s="3066" t="s">
        <v>5467</v>
      </c>
      <c r="J596" s="3066" t="s">
        <v>3560</v>
      </c>
      <c r="K596" s="3066" t="s">
        <v>3560</v>
      </c>
      <c r="L596" s="3066" t="s">
        <v>5468</v>
      </c>
      <c r="M596" s="3066" t="s">
        <v>5469</v>
      </c>
      <c r="N596" s="3066">
        <v>49.6</v>
      </c>
      <c r="O596" s="3066" t="s">
        <v>3619</v>
      </c>
      <c r="P596" s="3066" t="s">
        <v>4096</v>
      </c>
      <c r="Q596" s="3066">
        <v>1</v>
      </c>
      <c r="R596" s="3066">
        <v>4415</v>
      </c>
      <c r="S596" s="3066" t="s">
        <v>3567</v>
      </c>
      <c r="T596" s="3066">
        <v>21</v>
      </c>
      <c r="U596" s="3066">
        <v>1041.5999999999999</v>
      </c>
      <c r="V596" s="3066" t="s">
        <v>3560</v>
      </c>
      <c r="W596" s="3066" t="s">
        <v>3568</v>
      </c>
      <c r="X596" s="3066">
        <v>2.2000000000000002</v>
      </c>
      <c r="Y596" s="3066">
        <v>1310.4000000000001</v>
      </c>
      <c r="Z596" s="3066" t="s">
        <v>3568</v>
      </c>
      <c r="AA596" s="3066" t="s">
        <v>3560</v>
      </c>
      <c r="AB596" s="3066" t="s">
        <v>3584</v>
      </c>
      <c r="AC596" s="3066" t="s">
        <v>3584</v>
      </c>
      <c r="AD596" s="3066" t="s">
        <v>3584</v>
      </c>
      <c r="AE596" s="3066" t="s">
        <v>3560</v>
      </c>
      <c r="AF596" s="3067">
        <v>1041.5999999999999</v>
      </c>
      <c r="AG596" s="3066">
        <v>0</v>
      </c>
      <c r="AH596" s="3066">
        <v>109.2</v>
      </c>
      <c r="AI596" s="3066">
        <v>0</v>
      </c>
      <c r="AJ596" s="3066">
        <v>28.39</v>
      </c>
      <c r="AK596" s="3066">
        <v>0</v>
      </c>
      <c r="AL596" s="3066">
        <v>1179.19</v>
      </c>
      <c r="AM596" s="3066">
        <v>0</v>
      </c>
      <c r="AN596" s="3066" t="s">
        <v>3560</v>
      </c>
      <c r="AP596" s="3068">
        <f t="shared" si="9"/>
        <v>20.999999999999996</v>
      </c>
    </row>
    <row r="597" spans="2:42" ht="27" customHeight="1">
      <c r="B597" s="3066">
        <v>605</v>
      </c>
      <c r="C597" s="3066" t="s">
        <v>5408</v>
      </c>
      <c r="D597" s="3066" t="s">
        <v>5423</v>
      </c>
      <c r="E597" s="3066" t="s">
        <v>5470</v>
      </c>
      <c r="F597" s="3066" t="s">
        <v>3917</v>
      </c>
      <c r="G597" s="3066" t="s">
        <v>1373</v>
      </c>
      <c r="H597" s="3066" t="s">
        <v>3560</v>
      </c>
      <c r="I597" s="3066" t="s">
        <v>5433</v>
      </c>
      <c r="J597" s="3066" t="s">
        <v>5433</v>
      </c>
      <c r="K597" s="3066" t="s">
        <v>3560</v>
      </c>
      <c r="L597" s="3066" t="s">
        <v>5434</v>
      </c>
      <c r="M597" s="3066" t="s">
        <v>5471</v>
      </c>
      <c r="N597" s="3066">
        <v>76.400000000000006</v>
      </c>
      <c r="O597" s="3066" t="s">
        <v>3919</v>
      </c>
      <c r="P597" s="3066" t="s">
        <v>3566</v>
      </c>
      <c r="Q597" s="3066">
        <v>1</v>
      </c>
      <c r="R597" s="3066">
        <v>0</v>
      </c>
      <c r="S597" s="3066" t="s">
        <v>3577</v>
      </c>
      <c r="T597" s="3066">
        <v>20</v>
      </c>
      <c r="U597" s="3066">
        <v>1528</v>
      </c>
      <c r="V597" s="3066" t="s">
        <v>3560</v>
      </c>
      <c r="W597" s="3066" t="s">
        <v>3568</v>
      </c>
      <c r="X597" s="3066">
        <v>2.13</v>
      </c>
      <c r="Y597" s="3066">
        <v>1953.6</v>
      </c>
      <c r="Z597" s="3066" t="s">
        <v>3568</v>
      </c>
      <c r="AA597" s="3066" t="s">
        <v>3560</v>
      </c>
      <c r="AB597" s="3066" t="s">
        <v>3920</v>
      </c>
      <c r="AC597" s="3066" t="s">
        <v>3920</v>
      </c>
      <c r="AD597" s="3066" t="s">
        <v>3920</v>
      </c>
      <c r="AE597" s="3066" t="s">
        <v>3560</v>
      </c>
      <c r="AF597" s="3067">
        <v>1528</v>
      </c>
      <c r="AG597" s="3066">
        <v>1528</v>
      </c>
      <c r="AH597" s="3066">
        <v>162.80000000000001</v>
      </c>
      <c r="AI597" s="3066">
        <v>162.80000000000001</v>
      </c>
      <c r="AJ597" s="3066">
        <v>108.63</v>
      </c>
      <c r="AK597" s="3066">
        <v>108.63</v>
      </c>
      <c r="AL597" s="3066">
        <v>1799.43</v>
      </c>
      <c r="AM597" s="3066">
        <v>1799.43</v>
      </c>
      <c r="AN597" s="3066" t="s">
        <v>3560</v>
      </c>
      <c r="AP597" s="3068">
        <f t="shared" si="9"/>
        <v>20</v>
      </c>
    </row>
    <row r="598" spans="2:42" ht="27" customHeight="1">
      <c r="B598" s="3066">
        <v>606</v>
      </c>
      <c r="C598" s="3066" t="s">
        <v>5408</v>
      </c>
      <c r="D598" s="3066" t="s">
        <v>5423</v>
      </c>
      <c r="E598" s="3066" t="s">
        <v>5470</v>
      </c>
      <c r="F598" s="3066" t="s">
        <v>3917</v>
      </c>
      <c r="G598" s="3066" t="s">
        <v>1373</v>
      </c>
      <c r="H598" s="3066" t="s">
        <v>3560</v>
      </c>
      <c r="I598" s="3066" t="s">
        <v>5433</v>
      </c>
      <c r="J598" s="3066" t="s">
        <v>5433</v>
      </c>
      <c r="K598" s="3066" t="s">
        <v>3560</v>
      </c>
      <c r="L598" s="3066" t="s">
        <v>5434</v>
      </c>
      <c r="M598" s="3066" t="s">
        <v>5471</v>
      </c>
      <c r="N598" s="3066">
        <v>76.400000000000006</v>
      </c>
      <c r="O598" s="3066" t="s">
        <v>5230</v>
      </c>
      <c r="P598" s="3066" t="s">
        <v>4096</v>
      </c>
      <c r="Q598" s="3066">
        <v>1</v>
      </c>
      <c r="R598" s="3066">
        <v>0</v>
      </c>
      <c r="S598" s="3066" t="s">
        <v>3577</v>
      </c>
      <c r="T598" s="3066">
        <v>21</v>
      </c>
      <c r="U598" s="3066">
        <v>1604.4</v>
      </c>
      <c r="V598" s="3066" t="s">
        <v>3560</v>
      </c>
      <c r="W598" s="3066" t="s">
        <v>3568</v>
      </c>
      <c r="X598" s="3066">
        <v>2.13</v>
      </c>
      <c r="Y598" s="3066">
        <v>1953.6</v>
      </c>
      <c r="Z598" s="3066" t="s">
        <v>3568</v>
      </c>
      <c r="AA598" s="3066" t="s">
        <v>3560</v>
      </c>
      <c r="AB598" s="3066" t="s">
        <v>4868</v>
      </c>
      <c r="AC598" s="3066" t="s">
        <v>4868</v>
      </c>
      <c r="AD598" s="3066" t="s">
        <v>4868</v>
      </c>
      <c r="AE598" s="3066" t="s">
        <v>3560</v>
      </c>
      <c r="AF598" s="3067">
        <v>1528</v>
      </c>
      <c r="AG598" s="3066">
        <v>1528</v>
      </c>
      <c r="AH598" s="3066">
        <v>162.80000000000001</v>
      </c>
      <c r="AI598" s="3066">
        <v>162.80000000000001</v>
      </c>
      <c r="AJ598" s="3066">
        <v>108.63</v>
      </c>
      <c r="AK598" s="3066">
        <v>108.63</v>
      </c>
      <c r="AL598" s="3066">
        <v>1799.43</v>
      </c>
      <c r="AM598" s="3066">
        <v>1799.43</v>
      </c>
      <c r="AN598" s="3066" t="s">
        <v>3560</v>
      </c>
      <c r="AP598" s="3068">
        <f t="shared" si="9"/>
        <v>20</v>
      </c>
    </row>
    <row r="599" spans="2:42" ht="27" customHeight="1">
      <c r="B599" s="3066">
        <v>607</v>
      </c>
      <c r="C599" s="3066" t="s">
        <v>5408</v>
      </c>
      <c r="D599" s="3066" t="s">
        <v>5423</v>
      </c>
      <c r="E599" s="3066" t="s">
        <v>5472</v>
      </c>
      <c r="F599" s="3066" t="s">
        <v>3917</v>
      </c>
      <c r="G599" s="3066" t="s">
        <v>1373</v>
      </c>
      <c r="H599" s="3066" t="s">
        <v>3560</v>
      </c>
      <c r="I599" s="3066" t="s">
        <v>5433</v>
      </c>
      <c r="J599" s="3066" t="s">
        <v>5433</v>
      </c>
      <c r="K599" s="3066" t="s">
        <v>3560</v>
      </c>
      <c r="L599" s="3066" t="s">
        <v>5434</v>
      </c>
      <c r="M599" s="3066" t="s">
        <v>5473</v>
      </c>
      <c r="N599" s="3066">
        <v>66.2</v>
      </c>
      <c r="O599" s="3066" t="s">
        <v>3919</v>
      </c>
      <c r="P599" s="3066" t="s">
        <v>3566</v>
      </c>
      <c r="Q599" s="3066">
        <v>1</v>
      </c>
      <c r="R599" s="3066">
        <v>0</v>
      </c>
      <c r="S599" s="3066" t="s">
        <v>3577</v>
      </c>
      <c r="T599" s="3066">
        <v>20</v>
      </c>
      <c r="U599" s="3066">
        <v>1324</v>
      </c>
      <c r="V599" s="3066" t="s">
        <v>3560</v>
      </c>
      <c r="W599" s="3066" t="s">
        <v>3568</v>
      </c>
      <c r="X599" s="3066">
        <v>2.15</v>
      </c>
      <c r="Y599" s="3066">
        <v>1708.8</v>
      </c>
      <c r="Z599" s="3066" t="s">
        <v>3568</v>
      </c>
      <c r="AA599" s="3066" t="s">
        <v>3560</v>
      </c>
      <c r="AB599" s="3066" t="s">
        <v>3920</v>
      </c>
      <c r="AC599" s="3066" t="s">
        <v>3920</v>
      </c>
      <c r="AD599" s="3066" t="s">
        <v>3920</v>
      </c>
      <c r="AE599" s="3066" t="s">
        <v>3560</v>
      </c>
      <c r="AF599" s="3067">
        <v>1324</v>
      </c>
      <c r="AG599" s="3066">
        <v>1324</v>
      </c>
      <c r="AH599" s="3066">
        <v>142.4</v>
      </c>
      <c r="AI599" s="3066">
        <v>142.4</v>
      </c>
      <c r="AJ599" s="3066">
        <v>143.13</v>
      </c>
      <c r="AK599" s="3066">
        <v>143.13</v>
      </c>
      <c r="AL599" s="3066">
        <v>1609.53</v>
      </c>
      <c r="AM599" s="3066">
        <v>1609.53</v>
      </c>
      <c r="AN599" s="3066" t="s">
        <v>3560</v>
      </c>
      <c r="AP599" s="3068">
        <f t="shared" si="9"/>
        <v>20</v>
      </c>
    </row>
    <row r="600" spans="2:42" ht="27" customHeight="1">
      <c r="B600" s="3066">
        <v>608</v>
      </c>
      <c r="C600" s="3066" t="s">
        <v>5408</v>
      </c>
      <c r="D600" s="3066" t="s">
        <v>5423</v>
      </c>
      <c r="E600" s="3066" t="s">
        <v>5472</v>
      </c>
      <c r="F600" s="3066" t="s">
        <v>3917</v>
      </c>
      <c r="G600" s="3066" t="s">
        <v>1373</v>
      </c>
      <c r="H600" s="3066" t="s">
        <v>3560</v>
      </c>
      <c r="I600" s="3066" t="s">
        <v>5433</v>
      </c>
      <c r="J600" s="3066" t="s">
        <v>5433</v>
      </c>
      <c r="K600" s="3066" t="s">
        <v>3560</v>
      </c>
      <c r="L600" s="3066" t="s">
        <v>5434</v>
      </c>
      <c r="M600" s="3066" t="s">
        <v>5473</v>
      </c>
      <c r="N600" s="3066">
        <v>66.2</v>
      </c>
      <c r="O600" s="3066" t="s">
        <v>5230</v>
      </c>
      <c r="P600" s="3066" t="s">
        <v>4096</v>
      </c>
      <c r="Q600" s="3066">
        <v>1</v>
      </c>
      <c r="R600" s="3066">
        <v>0</v>
      </c>
      <c r="S600" s="3066" t="s">
        <v>3577</v>
      </c>
      <c r="T600" s="3066">
        <v>21</v>
      </c>
      <c r="U600" s="3066">
        <v>1390.2</v>
      </c>
      <c r="V600" s="3066" t="s">
        <v>3560</v>
      </c>
      <c r="W600" s="3066" t="s">
        <v>3568</v>
      </c>
      <c r="X600" s="3066">
        <v>2.15</v>
      </c>
      <c r="Y600" s="3066">
        <v>1708.8</v>
      </c>
      <c r="Z600" s="3066" t="s">
        <v>3568</v>
      </c>
      <c r="AA600" s="3066" t="s">
        <v>3560</v>
      </c>
      <c r="AB600" s="3066" t="s">
        <v>4868</v>
      </c>
      <c r="AC600" s="3066" t="s">
        <v>4868</v>
      </c>
      <c r="AD600" s="3066" t="s">
        <v>4868</v>
      </c>
      <c r="AE600" s="3066" t="s">
        <v>3560</v>
      </c>
      <c r="AF600" s="3067">
        <v>1324</v>
      </c>
      <c r="AG600" s="3066">
        <v>1324</v>
      </c>
      <c r="AH600" s="3066">
        <v>142.4</v>
      </c>
      <c r="AI600" s="3066">
        <v>142.4</v>
      </c>
      <c r="AJ600" s="3066">
        <v>143.13</v>
      </c>
      <c r="AK600" s="3066">
        <v>143.13</v>
      </c>
      <c r="AL600" s="3066">
        <v>1609.53</v>
      </c>
      <c r="AM600" s="3066">
        <v>1609.53</v>
      </c>
      <c r="AN600" s="3066" t="s">
        <v>3560</v>
      </c>
      <c r="AP600" s="3068">
        <f t="shared" si="9"/>
        <v>20</v>
      </c>
    </row>
    <row r="601" spans="2:42" ht="27" customHeight="1">
      <c r="B601" s="3066">
        <v>609</v>
      </c>
      <c r="C601" s="3066" t="s">
        <v>5408</v>
      </c>
      <c r="D601" s="3066" t="s">
        <v>5423</v>
      </c>
      <c r="E601" s="3066" t="s">
        <v>5474</v>
      </c>
      <c r="F601" s="3066" t="s">
        <v>3917</v>
      </c>
      <c r="G601" s="3066" t="s">
        <v>1373</v>
      </c>
      <c r="H601" s="3066" t="s">
        <v>3560</v>
      </c>
      <c r="I601" s="3066" t="s">
        <v>5444</v>
      </c>
      <c r="J601" s="3066" t="s">
        <v>3560</v>
      </c>
      <c r="K601" s="3066" t="s">
        <v>3560</v>
      </c>
      <c r="L601" s="3066" t="s">
        <v>5445</v>
      </c>
      <c r="M601" s="3066" t="s">
        <v>5475</v>
      </c>
      <c r="N601" s="3066">
        <v>66</v>
      </c>
      <c r="O601" s="3066" t="s">
        <v>3619</v>
      </c>
      <c r="P601" s="3066" t="s">
        <v>3566</v>
      </c>
      <c r="Q601" s="3066">
        <v>1</v>
      </c>
      <c r="R601" s="3066">
        <v>1435</v>
      </c>
      <c r="S601" s="3066" t="s">
        <v>3567</v>
      </c>
      <c r="T601" s="3066">
        <v>20</v>
      </c>
      <c r="U601" s="3066">
        <v>1320</v>
      </c>
      <c r="V601" s="3066" t="s">
        <v>3560</v>
      </c>
      <c r="W601" s="3066" t="s">
        <v>3568</v>
      </c>
      <c r="X601" s="3066">
        <v>2.15</v>
      </c>
      <c r="Y601" s="3066">
        <v>1704</v>
      </c>
      <c r="Z601" s="3066" t="s">
        <v>3568</v>
      </c>
      <c r="AA601" s="3066" t="s">
        <v>3560</v>
      </c>
      <c r="AB601" s="3066" t="s">
        <v>3584</v>
      </c>
      <c r="AC601" s="3066" t="s">
        <v>3584</v>
      </c>
      <c r="AD601" s="3066" t="s">
        <v>3584</v>
      </c>
      <c r="AE601" s="3066" t="s">
        <v>3560</v>
      </c>
      <c r="AF601" s="3067">
        <v>1320</v>
      </c>
      <c r="AG601" s="3066">
        <v>1320</v>
      </c>
      <c r="AH601" s="3066">
        <v>142</v>
      </c>
      <c r="AI601" s="3066">
        <v>142</v>
      </c>
      <c r="AJ601" s="3066">
        <v>109.21</v>
      </c>
      <c r="AK601" s="3066">
        <v>109.21</v>
      </c>
      <c r="AL601" s="3066">
        <v>1571.21</v>
      </c>
      <c r="AM601" s="3066">
        <v>1571.21</v>
      </c>
      <c r="AN601" s="3066" t="s">
        <v>3560</v>
      </c>
      <c r="AP601" s="3068">
        <f t="shared" si="9"/>
        <v>20</v>
      </c>
    </row>
    <row r="602" spans="2:42" ht="27" customHeight="1">
      <c r="B602" s="3066">
        <v>610</v>
      </c>
      <c r="C602" s="3066" t="s">
        <v>5408</v>
      </c>
      <c r="D602" s="3066" t="s">
        <v>5423</v>
      </c>
      <c r="E602" s="3066" t="s">
        <v>5476</v>
      </c>
      <c r="F602" s="3066" t="s">
        <v>3917</v>
      </c>
      <c r="G602" s="3066" t="s">
        <v>3560</v>
      </c>
      <c r="H602" s="3066" t="s">
        <v>3560</v>
      </c>
      <c r="I602" s="3066" t="s">
        <v>5477</v>
      </c>
      <c r="J602" s="3066" t="s">
        <v>5477</v>
      </c>
      <c r="K602" s="3066" t="s">
        <v>3560</v>
      </c>
      <c r="L602" s="3066" t="s">
        <v>5478</v>
      </c>
      <c r="M602" s="3066" t="s">
        <v>5479</v>
      </c>
      <c r="N602" s="3066">
        <v>49.6</v>
      </c>
      <c r="O602" s="3066" t="s">
        <v>4482</v>
      </c>
      <c r="P602" s="3066" t="s">
        <v>3566</v>
      </c>
      <c r="Q602" s="3066">
        <v>0</v>
      </c>
      <c r="R602" s="3066">
        <v>5987</v>
      </c>
      <c r="S602" s="3066" t="s">
        <v>3567</v>
      </c>
      <c r="T602" s="3066">
        <v>20</v>
      </c>
      <c r="U602" s="3066">
        <v>992</v>
      </c>
      <c r="V602" s="3066" t="s">
        <v>3560</v>
      </c>
      <c r="W602" s="3066" t="s">
        <v>3568</v>
      </c>
      <c r="X602" s="3066">
        <v>2.2000000000000002</v>
      </c>
      <c r="Y602" s="3066">
        <v>1310.4000000000001</v>
      </c>
      <c r="Z602" s="3066" t="s">
        <v>3568</v>
      </c>
      <c r="AA602" s="3066" t="s">
        <v>3560</v>
      </c>
      <c r="AB602" s="3066" t="s">
        <v>4483</v>
      </c>
      <c r="AC602" s="3066" t="s">
        <v>4483</v>
      </c>
      <c r="AD602" s="3066" t="s">
        <v>4483</v>
      </c>
      <c r="AE602" s="3066" t="s">
        <v>3560</v>
      </c>
      <c r="AF602" s="3067">
        <v>992</v>
      </c>
      <c r="AG602" s="3066">
        <v>992</v>
      </c>
      <c r="AH602" s="3066">
        <v>109.2</v>
      </c>
      <c r="AI602" s="3066">
        <v>109.2</v>
      </c>
      <c r="AJ602" s="3066">
        <v>15.39</v>
      </c>
      <c r="AK602" s="3066">
        <v>15.39</v>
      </c>
      <c r="AL602" s="3066">
        <v>1116.5899999999999</v>
      </c>
      <c r="AM602" s="3066">
        <v>1116.5899999999999</v>
      </c>
      <c r="AN602" s="3066" t="s">
        <v>3560</v>
      </c>
      <c r="AP602" s="3068">
        <f t="shared" si="9"/>
        <v>20</v>
      </c>
    </row>
    <row r="603" spans="2:42" ht="27" customHeight="1">
      <c r="B603" s="3066">
        <v>611</v>
      </c>
      <c r="C603" s="3066" t="s">
        <v>5408</v>
      </c>
      <c r="D603" s="3066" t="s">
        <v>5423</v>
      </c>
      <c r="E603" s="3066" t="s">
        <v>5480</v>
      </c>
      <c r="F603" s="3066" t="s">
        <v>3917</v>
      </c>
      <c r="G603" s="3066" t="s">
        <v>1373</v>
      </c>
      <c r="H603" s="3066" t="s">
        <v>3560</v>
      </c>
      <c r="I603" s="3066" t="s">
        <v>3832</v>
      </c>
      <c r="J603" s="3066" t="s">
        <v>3833</v>
      </c>
      <c r="K603" s="3066" t="s">
        <v>3560</v>
      </c>
      <c r="L603" s="3066" t="s">
        <v>3834</v>
      </c>
      <c r="M603" s="3066" t="s">
        <v>5481</v>
      </c>
      <c r="N603" s="3066">
        <v>76.400000000000006</v>
      </c>
      <c r="O603" s="3066" t="s">
        <v>4008</v>
      </c>
      <c r="P603" s="3066" t="s">
        <v>3566</v>
      </c>
      <c r="Q603" s="3066">
        <v>1</v>
      </c>
      <c r="R603" s="3066">
        <v>5042.3999999999996</v>
      </c>
      <c r="S603" s="3066" t="s">
        <v>3567</v>
      </c>
      <c r="T603" s="3066">
        <v>20</v>
      </c>
      <c r="U603" s="3066">
        <v>1528</v>
      </c>
      <c r="V603" s="3066" t="s">
        <v>3560</v>
      </c>
      <c r="W603" s="3066" t="s">
        <v>3568</v>
      </c>
      <c r="X603" s="3066">
        <v>2</v>
      </c>
      <c r="Y603" s="3066">
        <v>1833.6</v>
      </c>
      <c r="Z603" s="3066" t="s">
        <v>3568</v>
      </c>
      <c r="AA603" s="3066" t="s">
        <v>3560</v>
      </c>
      <c r="AB603" s="3066" t="s">
        <v>3692</v>
      </c>
      <c r="AC603" s="3066" t="s">
        <v>3692</v>
      </c>
      <c r="AD603" s="3066" t="s">
        <v>3692</v>
      </c>
      <c r="AE603" s="3066" t="s">
        <v>3560</v>
      </c>
      <c r="AF603" s="3067">
        <v>1528</v>
      </c>
      <c r="AG603" s="3066">
        <v>1528</v>
      </c>
      <c r="AH603" s="3066">
        <v>152.80000000000001</v>
      </c>
      <c r="AI603" s="3066">
        <v>152.80000000000001</v>
      </c>
      <c r="AJ603" s="3066">
        <v>1.19</v>
      </c>
      <c r="AK603" s="3066">
        <v>1.19</v>
      </c>
      <c r="AL603" s="3066">
        <v>1681.99</v>
      </c>
      <c r="AM603" s="3066">
        <v>1681.99</v>
      </c>
      <c r="AN603" s="3066" t="s">
        <v>3560</v>
      </c>
      <c r="AP603" s="3068">
        <f t="shared" si="9"/>
        <v>20</v>
      </c>
    </row>
    <row r="604" spans="2:42" ht="27" customHeight="1">
      <c r="B604" s="3066">
        <v>612</v>
      </c>
      <c r="C604" s="3066" t="s">
        <v>5408</v>
      </c>
      <c r="D604" s="3066" t="s">
        <v>5423</v>
      </c>
      <c r="E604" s="3066" t="s">
        <v>5482</v>
      </c>
      <c r="F604" s="3066" t="s">
        <v>3917</v>
      </c>
      <c r="G604" s="3066" t="s">
        <v>3560</v>
      </c>
      <c r="H604" s="3066" t="s">
        <v>3560</v>
      </c>
      <c r="I604" s="3066" t="s">
        <v>3560</v>
      </c>
      <c r="J604" s="3066" t="s">
        <v>3560</v>
      </c>
      <c r="K604" s="3066" t="s">
        <v>3560</v>
      </c>
      <c r="L604" s="3066" t="s">
        <v>3560</v>
      </c>
      <c r="M604" s="3066" t="s">
        <v>5483</v>
      </c>
      <c r="N604" s="3066">
        <v>66.2</v>
      </c>
      <c r="O604" s="3066" t="s">
        <v>3560</v>
      </c>
      <c r="P604" s="3066" t="s">
        <v>3560</v>
      </c>
      <c r="Q604" s="3066">
        <v>0</v>
      </c>
      <c r="R604" s="3066">
        <v>0</v>
      </c>
      <c r="S604" s="3066" t="s">
        <v>3577</v>
      </c>
      <c r="T604" s="3066">
        <v>0</v>
      </c>
      <c r="U604" s="3066">
        <v>0</v>
      </c>
      <c r="V604" s="3066" t="s">
        <v>3560</v>
      </c>
      <c r="W604" s="3066" t="s">
        <v>3568</v>
      </c>
      <c r="X604" s="3066">
        <v>0</v>
      </c>
      <c r="Y604" s="3066">
        <v>0</v>
      </c>
      <c r="Z604" s="3066" t="s">
        <v>3568</v>
      </c>
      <c r="AA604" s="3066" t="s">
        <v>3560</v>
      </c>
      <c r="AB604" s="3066" t="s">
        <v>3560</v>
      </c>
      <c r="AC604" s="3066" t="s">
        <v>3560</v>
      </c>
      <c r="AD604" s="3066" t="s">
        <v>3560</v>
      </c>
      <c r="AE604" s="3066" t="s">
        <v>3560</v>
      </c>
      <c r="AF604" s="3067">
        <v>0</v>
      </c>
      <c r="AG604" s="3066">
        <v>0</v>
      </c>
      <c r="AH604" s="3066">
        <v>0</v>
      </c>
      <c r="AI604" s="3066">
        <v>0</v>
      </c>
      <c r="AJ604" s="3066">
        <v>0</v>
      </c>
      <c r="AK604" s="3066">
        <v>0</v>
      </c>
      <c r="AL604" s="3066">
        <v>0</v>
      </c>
      <c r="AM604" s="3066">
        <v>0</v>
      </c>
      <c r="AN604" s="3066" t="s">
        <v>3560</v>
      </c>
      <c r="AP604" s="3068">
        <f t="shared" si="9"/>
        <v>0</v>
      </c>
    </row>
    <row r="605" spans="2:42" ht="27" customHeight="1">
      <c r="B605" s="3066">
        <v>613</v>
      </c>
      <c r="C605" s="3066" t="s">
        <v>5408</v>
      </c>
      <c r="D605" s="3066" t="s">
        <v>5423</v>
      </c>
      <c r="E605" s="3066" t="s">
        <v>5484</v>
      </c>
      <c r="F605" s="3066" t="s">
        <v>3917</v>
      </c>
      <c r="G605" s="3066" t="s">
        <v>3560</v>
      </c>
      <c r="H605" s="3066" t="s">
        <v>3560</v>
      </c>
      <c r="I605" s="3066" t="s">
        <v>5485</v>
      </c>
      <c r="J605" s="3066" t="s">
        <v>5485</v>
      </c>
      <c r="K605" s="3066" t="s">
        <v>3560</v>
      </c>
      <c r="L605" s="3066" t="s">
        <v>5486</v>
      </c>
      <c r="M605" s="3066" t="s">
        <v>5487</v>
      </c>
      <c r="N605" s="3066">
        <v>66</v>
      </c>
      <c r="O605" s="3066" t="s">
        <v>5488</v>
      </c>
      <c r="P605" s="3066" t="s">
        <v>3566</v>
      </c>
      <c r="Q605" s="3066">
        <v>1</v>
      </c>
      <c r="R605" s="3066">
        <v>4386</v>
      </c>
      <c r="S605" s="3066" t="s">
        <v>3567</v>
      </c>
      <c r="T605" s="3066">
        <v>20</v>
      </c>
      <c r="U605" s="3066">
        <v>1320</v>
      </c>
      <c r="V605" s="3066" t="s">
        <v>3560</v>
      </c>
      <c r="W605" s="3066" t="s">
        <v>3568</v>
      </c>
      <c r="X605" s="3066">
        <v>2.15</v>
      </c>
      <c r="Y605" s="3066">
        <v>1704</v>
      </c>
      <c r="Z605" s="3066" t="s">
        <v>3568</v>
      </c>
      <c r="AA605" s="3066" t="s">
        <v>3560</v>
      </c>
      <c r="AB605" s="3066" t="s">
        <v>5489</v>
      </c>
      <c r="AC605" s="3066" t="s">
        <v>5489</v>
      </c>
      <c r="AD605" s="3066" t="s">
        <v>5489</v>
      </c>
      <c r="AE605" s="3066" t="s">
        <v>3560</v>
      </c>
      <c r="AF605" s="3067">
        <v>1320</v>
      </c>
      <c r="AG605" s="3066">
        <v>0</v>
      </c>
      <c r="AH605" s="3066">
        <v>142</v>
      </c>
      <c r="AI605" s="3066">
        <v>0</v>
      </c>
      <c r="AJ605" s="3066">
        <v>87.7</v>
      </c>
      <c r="AK605" s="3066">
        <v>0</v>
      </c>
      <c r="AL605" s="3066">
        <v>1549.7</v>
      </c>
      <c r="AM605" s="3066">
        <v>0</v>
      </c>
      <c r="AN605" s="3066" t="s">
        <v>3560</v>
      </c>
      <c r="AP605" s="3068">
        <f t="shared" si="9"/>
        <v>20</v>
      </c>
    </row>
    <row r="606" spans="2:42" ht="27" customHeight="1">
      <c r="B606" s="3066">
        <v>614</v>
      </c>
      <c r="C606" s="3066" t="s">
        <v>5490</v>
      </c>
      <c r="D606" s="3066" t="s">
        <v>4019</v>
      </c>
      <c r="E606" s="3066" t="s">
        <v>5491</v>
      </c>
      <c r="F606" s="3066" t="s">
        <v>3917</v>
      </c>
      <c r="G606" s="3066" t="s">
        <v>1373</v>
      </c>
      <c r="H606" s="3066" t="s">
        <v>3560</v>
      </c>
      <c r="I606" s="3066" t="s">
        <v>3787</v>
      </c>
      <c r="J606" s="3066" t="s">
        <v>3788</v>
      </c>
      <c r="K606" s="3066" t="s">
        <v>3560</v>
      </c>
      <c r="L606" s="3066" t="s">
        <v>3789</v>
      </c>
      <c r="M606" s="3066" t="s">
        <v>5492</v>
      </c>
      <c r="N606" s="3066">
        <v>35.6</v>
      </c>
      <c r="O606" s="3066" t="s">
        <v>4488</v>
      </c>
      <c r="P606" s="3066" t="s">
        <v>3566</v>
      </c>
      <c r="Q606" s="3066">
        <v>1</v>
      </c>
      <c r="R606" s="3066">
        <v>550.6</v>
      </c>
      <c r="S606" s="3066" t="s">
        <v>3567</v>
      </c>
      <c r="T606" s="3066">
        <v>20</v>
      </c>
      <c r="U606" s="3066">
        <v>712</v>
      </c>
      <c r="V606" s="3066" t="s">
        <v>3560</v>
      </c>
      <c r="W606" s="3066" t="s">
        <v>3568</v>
      </c>
      <c r="X606" s="3066">
        <v>2</v>
      </c>
      <c r="Y606" s="3066">
        <v>854.4</v>
      </c>
      <c r="Z606" s="3066" t="s">
        <v>3568</v>
      </c>
      <c r="AA606" s="3066" t="s">
        <v>3560</v>
      </c>
      <c r="AB606" s="3066" t="s">
        <v>4489</v>
      </c>
      <c r="AC606" s="3066" t="s">
        <v>4489</v>
      </c>
      <c r="AD606" s="3066" t="s">
        <v>4489</v>
      </c>
      <c r="AE606" s="3066" t="s">
        <v>3560</v>
      </c>
      <c r="AF606" s="3067">
        <v>712</v>
      </c>
      <c r="AG606" s="3066">
        <v>0</v>
      </c>
      <c r="AH606" s="3066">
        <v>71.2</v>
      </c>
      <c r="AI606" s="3066">
        <v>0</v>
      </c>
      <c r="AJ606" s="3066">
        <v>44.78</v>
      </c>
      <c r="AK606" s="3066">
        <v>0</v>
      </c>
      <c r="AL606" s="3066">
        <v>827.98</v>
      </c>
      <c r="AM606" s="3066">
        <v>0</v>
      </c>
      <c r="AN606" s="3066" t="s">
        <v>3560</v>
      </c>
      <c r="AP606" s="3068">
        <f t="shared" si="9"/>
        <v>20</v>
      </c>
    </row>
    <row r="607" spans="2:42" ht="27" customHeight="1">
      <c r="B607" s="3066">
        <v>615</v>
      </c>
      <c r="C607" s="3066" t="s">
        <v>5490</v>
      </c>
      <c r="D607" s="3066" t="s">
        <v>4019</v>
      </c>
      <c r="E607" s="3066" t="s">
        <v>5493</v>
      </c>
      <c r="F607" s="3066" t="s">
        <v>3917</v>
      </c>
      <c r="G607" s="3066" t="s">
        <v>3560</v>
      </c>
      <c r="H607" s="3066" t="s">
        <v>3560</v>
      </c>
      <c r="I607" s="3066" t="s">
        <v>4623</v>
      </c>
      <c r="J607" s="3066" t="s">
        <v>4623</v>
      </c>
      <c r="K607" s="3066" t="s">
        <v>3560</v>
      </c>
      <c r="L607" s="3066" t="s">
        <v>3789</v>
      </c>
      <c r="M607" s="3066" t="s">
        <v>5494</v>
      </c>
      <c r="N607" s="3066">
        <v>35.6</v>
      </c>
      <c r="O607" s="3066" t="s">
        <v>3919</v>
      </c>
      <c r="P607" s="3066" t="s">
        <v>3566</v>
      </c>
      <c r="Q607" s="3066">
        <v>1</v>
      </c>
      <c r="R607" s="3066">
        <v>4759</v>
      </c>
      <c r="S607" s="3066" t="s">
        <v>3567</v>
      </c>
      <c r="T607" s="3066">
        <v>20</v>
      </c>
      <c r="U607" s="3066">
        <v>712</v>
      </c>
      <c r="V607" s="3066" t="s">
        <v>3560</v>
      </c>
      <c r="W607" s="3066" t="s">
        <v>3568</v>
      </c>
      <c r="X607" s="3066">
        <v>2.2799999999999998</v>
      </c>
      <c r="Y607" s="3066">
        <v>974.4</v>
      </c>
      <c r="Z607" s="3066" t="s">
        <v>3568</v>
      </c>
      <c r="AA607" s="3066" t="s">
        <v>3560</v>
      </c>
      <c r="AB607" s="3066" t="s">
        <v>3920</v>
      </c>
      <c r="AC607" s="3066" t="s">
        <v>3920</v>
      </c>
      <c r="AD607" s="3066" t="s">
        <v>3920</v>
      </c>
      <c r="AE607" s="3066" t="s">
        <v>3560</v>
      </c>
      <c r="AF607" s="3067">
        <v>712</v>
      </c>
      <c r="AG607" s="3066">
        <v>0</v>
      </c>
      <c r="AH607" s="3066">
        <v>81.2</v>
      </c>
      <c r="AI607" s="3066">
        <v>0</v>
      </c>
      <c r="AJ607" s="3066">
        <v>45.9</v>
      </c>
      <c r="AK607" s="3066">
        <v>0</v>
      </c>
      <c r="AL607" s="3066">
        <v>839.1</v>
      </c>
      <c r="AM607" s="3066">
        <v>0</v>
      </c>
      <c r="AN607" s="3066" t="s">
        <v>3560</v>
      </c>
      <c r="AP607" s="3068">
        <f t="shared" si="9"/>
        <v>20</v>
      </c>
    </row>
    <row r="608" spans="2:42" ht="27" customHeight="1">
      <c r="B608" s="3066">
        <v>616</v>
      </c>
      <c r="C608" s="3066" t="s">
        <v>5490</v>
      </c>
      <c r="D608" s="3066" t="s">
        <v>4019</v>
      </c>
      <c r="E608" s="3066" t="s">
        <v>5495</v>
      </c>
      <c r="F608" s="3066" t="s">
        <v>3917</v>
      </c>
      <c r="G608" s="3066" t="s">
        <v>3560</v>
      </c>
      <c r="H608" s="3066" t="s">
        <v>3560</v>
      </c>
      <c r="I608" s="3066" t="s">
        <v>4623</v>
      </c>
      <c r="J608" s="3066" t="s">
        <v>4623</v>
      </c>
      <c r="K608" s="3066" t="s">
        <v>3560</v>
      </c>
      <c r="L608" s="3066" t="s">
        <v>3789</v>
      </c>
      <c r="M608" s="3066" t="s">
        <v>5496</v>
      </c>
      <c r="N608" s="3066">
        <v>35.6</v>
      </c>
      <c r="O608" s="3066" t="s">
        <v>3919</v>
      </c>
      <c r="P608" s="3066" t="s">
        <v>3566</v>
      </c>
      <c r="Q608" s="3066">
        <v>1</v>
      </c>
      <c r="R608" s="3066">
        <v>0</v>
      </c>
      <c r="S608" s="3066" t="s">
        <v>3577</v>
      </c>
      <c r="T608" s="3066">
        <v>20</v>
      </c>
      <c r="U608" s="3066">
        <v>712</v>
      </c>
      <c r="V608" s="3066" t="s">
        <v>3560</v>
      </c>
      <c r="W608" s="3066" t="s">
        <v>3568</v>
      </c>
      <c r="X608" s="3066">
        <v>2.2799999999999998</v>
      </c>
      <c r="Y608" s="3066">
        <v>974.4</v>
      </c>
      <c r="Z608" s="3066" t="s">
        <v>3568</v>
      </c>
      <c r="AA608" s="3066" t="s">
        <v>3560</v>
      </c>
      <c r="AB608" s="3066" t="s">
        <v>3920</v>
      </c>
      <c r="AC608" s="3066" t="s">
        <v>3920</v>
      </c>
      <c r="AD608" s="3066" t="s">
        <v>3920</v>
      </c>
      <c r="AE608" s="3066" t="s">
        <v>3560</v>
      </c>
      <c r="AF608" s="3067">
        <v>712</v>
      </c>
      <c r="AG608" s="3066">
        <v>0</v>
      </c>
      <c r="AH608" s="3066">
        <v>81.2</v>
      </c>
      <c r="AI608" s="3066">
        <v>0</v>
      </c>
      <c r="AJ608" s="3066">
        <v>47.51</v>
      </c>
      <c r="AK608" s="3066">
        <v>0</v>
      </c>
      <c r="AL608" s="3066">
        <v>840.71</v>
      </c>
      <c r="AM608" s="3066">
        <v>0</v>
      </c>
      <c r="AN608" s="3066" t="s">
        <v>3560</v>
      </c>
      <c r="AP608" s="3068">
        <f t="shared" si="9"/>
        <v>20</v>
      </c>
    </row>
    <row r="609" spans="2:42" ht="27" customHeight="1">
      <c r="B609" s="3066">
        <v>617</v>
      </c>
      <c r="C609" s="3066" t="s">
        <v>5490</v>
      </c>
      <c r="D609" s="3066" t="s">
        <v>4019</v>
      </c>
      <c r="E609" s="3066" t="s">
        <v>5497</v>
      </c>
      <c r="F609" s="3066" t="s">
        <v>3917</v>
      </c>
      <c r="G609" s="3066" t="s">
        <v>1373</v>
      </c>
      <c r="H609" s="3066" t="s">
        <v>3560</v>
      </c>
      <c r="I609" s="3066" t="s">
        <v>5498</v>
      </c>
      <c r="J609" s="3066" t="s">
        <v>3560</v>
      </c>
      <c r="K609" s="3066" t="s">
        <v>3560</v>
      </c>
      <c r="L609" s="3066" t="s">
        <v>5499</v>
      </c>
      <c r="M609" s="3066" t="s">
        <v>5500</v>
      </c>
      <c r="N609" s="3066">
        <v>35.6</v>
      </c>
      <c r="O609" s="3066" t="s">
        <v>4488</v>
      </c>
      <c r="P609" s="3066" t="s">
        <v>3566</v>
      </c>
      <c r="Q609" s="3066">
        <v>1</v>
      </c>
      <c r="R609" s="3066">
        <v>3966</v>
      </c>
      <c r="S609" s="3066" t="s">
        <v>3567</v>
      </c>
      <c r="T609" s="3066">
        <v>20</v>
      </c>
      <c r="U609" s="3066">
        <v>712</v>
      </c>
      <c r="V609" s="3066" t="s">
        <v>3560</v>
      </c>
      <c r="W609" s="3066" t="s">
        <v>3568</v>
      </c>
      <c r="X609" s="3066">
        <v>2.2799999999999998</v>
      </c>
      <c r="Y609" s="3066">
        <v>974.4</v>
      </c>
      <c r="Z609" s="3066" t="s">
        <v>3568</v>
      </c>
      <c r="AA609" s="3066" t="s">
        <v>3560</v>
      </c>
      <c r="AB609" s="3066" t="s">
        <v>4489</v>
      </c>
      <c r="AC609" s="3066" t="s">
        <v>4489</v>
      </c>
      <c r="AD609" s="3066" t="s">
        <v>4489</v>
      </c>
      <c r="AE609" s="3066" t="s">
        <v>3560</v>
      </c>
      <c r="AF609" s="3067">
        <v>712</v>
      </c>
      <c r="AG609" s="3066">
        <v>712</v>
      </c>
      <c r="AH609" s="3066">
        <v>81.2</v>
      </c>
      <c r="AI609" s="3066">
        <v>81.2</v>
      </c>
      <c r="AJ609" s="3066">
        <v>97.92</v>
      </c>
      <c r="AK609" s="3066">
        <v>97.92</v>
      </c>
      <c r="AL609" s="3066">
        <v>891.12</v>
      </c>
      <c r="AM609" s="3066">
        <v>891.12</v>
      </c>
      <c r="AN609" s="3066" t="s">
        <v>3560</v>
      </c>
      <c r="AP609" s="3068">
        <f t="shared" si="9"/>
        <v>20</v>
      </c>
    </row>
    <row r="610" spans="2:42" ht="27" customHeight="1">
      <c r="B610" s="3066">
        <v>618</v>
      </c>
      <c r="C610" s="3066" t="s">
        <v>5490</v>
      </c>
      <c r="D610" s="3066" t="s">
        <v>4019</v>
      </c>
      <c r="E610" s="3066" t="s">
        <v>5501</v>
      </c>
      <c r="F610" s="3066" t="s">
        <v>3917</v>
      </c>
      <c r="G610" s="3066" t="s">
        <v>3560</v>
      </c>
      <c r="H610" s="3066" t="s">
        <v>3560</v>
      </c>
      <c r="I610" s="3066" t="s">
        <v>5502</v>
      </c>
      <c r="J610" s="3066" t="s">
        <v>5502</v>
      </c>
      <c r="K610" s="3066" t="s">
        <v>3560</v>
      </c>
      <c r="L610" s="3066" t="s">
        <v>5503</v>
      </c>
      <c r="M610" s="3066" t="s">
        <v>5504</v>
      </c>
      <c r="N610" s="3066">
        <v>35.6</v>
      </c>
      <c r="O610" s="3066" t="s">
        <v>4488</v>
      </c>
      <c r="P610" s="3066" t="s">
        <v>3566</v>
      </c>
      <c r="Q610" s="3066">
        <v>1</v>
      </c>
      <c r="R610" s="3066">
        <v>3966</v>
      </c>
      <c r="S610" s="3066" t="s">
        <v>3567</v>
      </c>
      <c r="T610" s="3066">
        <v>20</v>
      </c>
      <c r="U610" s="3066">
        <v>712</v>
      </c>
      <c r="V610" s="3066" t="s">
        <v>3560</v>
      </c>
      <c r="W610" s="3066" t="s">
        <v>3568</v>
      </c>
      <c r="X610" s="3066">
        <v>2.2799999999999998</v>
      </c>
      <c r="Y610" s="3066">
        <v>974.4</v>
      </c>
      <c r="Z610" s="3066" t="s">
        <v>3568</v>
      </c>
      <c r="AA610" s="3066" t="s">
        <v>3560</v>
      </c>
      <c r="AB610" s="3066" t="s">
        <v>4489</v>
      </c>
      <c r="AC610" s="3066" t="s">
        <v>4489</v>
      </c>
      <c r="AD610" s="3066" t="s">
        <v>4489</v>
      </c>
      <c r="AE610" s="3066" t="s">
        <v>3560</v>
      </c>
      <c r="AF610" s="3067">
        <v>712</v>
      </c>
      <c r="AG610" s="3066">
        <v>712</v>
      </c>
      <c r="AH610" s="3066">
        <v>81.2</v>
      </c>
      <c r="AI610" s="3066">
        <v>81.2</v>
      </c>
      <c r="AJ610" s="3066">
        <v>77</v>
      </c>
      <c r="AK610" s="3066">
        <v>77</v>
      </c>
      <c r="AL610" s="3066">
        <v>870.2</v>
      </c>
      <c r="AM610" s="3066">
        <v>870.2</v>
      </c>
      <c r="AN610" s="3066" t="s">
        <v>3560</v>
      </c>
      <c r="AP610" s="3068">
        <f t="shared" si="9"/>
        <v>20</v>
      </c>
    </row>
    <row r="611" spans="2:42" ht="27" customHeight="1">
      <c r="B611" s="3066">
        <v>619</v>
      </c>
      <c r="C611" s="3066" t="s">
        <v>5490</v>
      </c>
      <c r="D611" s="3066" t="s">
        <v>4019</v>
      </c>
      <c r="E611" s="3066" t="s">
        <v>5505</v>
      </c>
      <c r="F611" s="3066" t="s">
        <v>3917</v>
      </c>
      <c r="G611" s="3066" t="s">
        <v>3560</v>
      </c>
      <c r="H611" s="3066" t="s">
        <v>3560</v>
      </c>
      <c r="I611" s="3066" t="s">
        <v>5506</v>
      </c>
      <c r="J611" s="3066" t="s">
        <v>5506</v>
      </c>
      <c r="K611" s="3066" t="s">
        <v>3560</v>
      </c>
      <c r="L611" s="3066" t="s">
        <v>5507</v>
      </c>
      <c r="M611" s="3066" t="s">
        <v>5508</v>
      </c>
      <c r="N611" s="3066">
        <v>35.6</v>
      </c>
      <c r="O611" s="3066" t="s">
        <v>3619</v>
      </c>
      <c r="P611" s="3066" t="s">
        <v>3566</v>
      </c>
      <c r="Q611" s="3066">
        <v>1</v>
      </c>
      <c r="R611" s="3066">
        <v>2380</v>
      </c>
      <c r="S611" s="3066" t="s">
        <v>3567</v>
      </c>
      <c r="T611" s="3066">
        <v>20</v>
      </c>
      <c r="U611" s="3066">
        <v>712</v>
      </c>
      <c r="V611" s="3066" t="s">
        <v>3560</v>
      </c>
      <c r="W611" s="3066" t="s">
        <v>3568</v>
      </c>
      <c r="X611" s="3066">
        <v>2.2799999999999998</v>
      </c>
      <c r="Y611" s="3066">
        <v>974.4</v>
      </c>
      <c r="Z611" s="3066" t="s">
        <v>3568</v>
      </c>
      <c r="AA611" s="3066" t="s">
        <v>3560</v>
      </c>
      <c r="AB611" s="3066" t="s">
        <v>3584</v>
      </c>
      <c r="AC611" s="3066" t="s">
        <v>3584</v>
      </c>
      <c r="AD611" s="3066" t="s">
        <v>3584</v>
      </c>
      <c r="AE611" s="3066" t="s">
        <v>3560</v>
      </c>
      <c r="AF611" s="3067">
        <v>712</v>
      </c>
      <c r="AG611" s="3066">
        <v>712</v>
      </c>
      <c r="AH611" s="3066">
        <v>81.2</v>
      </c>
      <c r="AI611" s="3066">
        <v>81.2</v>
      </c>
      <c r="AJ611" s="3066">
        <v>25.84</v>
      </c>
      <c r="AK611" s="3066">
        <v>25.84</v>
      </c>
      <c r="AL611" s="3066">
        <v>819.04</v>
      </c>
      <c r="AM611" s="3066">
        <v>819.04</v>
      </c>
      <c r="AN611" s="3066" t="s">
        <v>3560</v>
      </c>
      <c r="AP611" s="3068">
        <f t="shared" si="9"/>
        <v>20</v>
      </c>
    </row>
    <row r="612" spans="2:42" ht="27" customHeight="1">
      <c r="B612" s="3066">
        <v>620</v>
      </c>
      <c r="C612" s="3066" t="s">
        <v>5490</v>
      </c>
      <c r="D612" s="3066" t="s">
        <v>4019</v>
      </c>
      <c r="E612" s="3066" t="s">
        <v>5509</v>
      </c>
      <c r="F612" s="3066" t="s">
        <v>3917</v>
      </c>
      <c r="G612" s="3066" t="s">
        <v>3560</v>
      </c>
      <c r="H612" s="3066" t="s">
        <v>3560</v>
      </c>
      <c r="I612" s="3066" t="s">
        <v>5510</v>
      </c>
      <c r="J612" s="3066" t="s">
        <v>5510</v>
      </c>
      <c r="K612" s="3066" t="s">
        <v>3560</v>
      </c>
      <c r="L612" s="3066" t="s">
        <v>3669</v>
      </c>
      <c r="M612" s="3066" t="s">
        <v>5511</v>
      </c>
      <c r="N612" s="3066">
        <v>35.6</v>
      </c>
      <c r="O612" s="3066" t="s">
        <v>3931</v>
      </c>
      <c r="P612" s="3066" t="s">
        <v>3566</v>
      </c>
      <c r="Q612" s="3066">
        <v>1</v>
      </c>
      <c r="R612" s="3066">
        <v>2380</v>
      </c>
      <c r="S612" s="3066" t="s">
        <v>3567</v>
      </c>
      <c r="T612" s="3066">
        <v>20</v>
      </c>
      <c r="U612" s="3066">
        <v>712</v>
      </c>
      <c r="V612" s="3066" t="s">
        <v>3560</v>
      </c>
      <c r="W612" s="3066" t="s">
        <v>3568</v>
      </c>
      <c r="X612" s="3066">
        <v>2.2799999999999998</v>
      </c>
      <c r="Y612" s="3066">
        <v>974.4</v>
      </c>
      <c r="Z612" s="3066" t="s">
        <v>3568</v>
      </c>
      <c r="AA612" s="3066" t="s">
        <v>3560</v>
      </c>
      <c r="AB612" s="3066" t="s">
        <v>3932</v>
      </c>
      <c r="AC612" s="3066" t="s">
        <v>3932</v>
      </c>
      <c r="AD612" s="3066" t="s">
        <v>3932</v>
      </c>
      <c r="AE612" s="3066" t="s">
        <v>3560</v>
      </c>
      <c r="AF612" s="3067">
        <v>712</v>
      </c>
      <c r="AG612" s="3066">
        <v>0</v>
      </c>
      <c r="AH612" s="3066">
        <v>81.2</v>
      </c>
      <c r="AI612" s="3066">
        <v>0</v>
      </c>
      <c r="AJ612" s="3066">
        <v>36.71</v>
      </c>
      <c r="AK612" s="3066">
        <v>0</v>
      </c>
      <c r="AL612" s="3066">
        <v>829.91</v>
      </c>
      <c r="AM612" s="3066">
        <v>0</v>
      </c>
      <c r="AN612" s="3066" t="s">
        <v>3560</v>
      </c>
      <c r="AP612" s="3068">
        <f t="shared" si="9"/>
        <v>20</v>
      </c>
    </row>
    <row r="613" spans="2:42" ht="27" customHeight="1">
      <c r="B613" s="3066">
        <v>621</v>
      </c>
      <c r="C613" s="3066" t="s">
        <v>5490</v>
      </c>
      <c r="D613" s="3066" t="s">
        <v>4019</v>
      </c>
      <c r="E613" s="3066" t="s">
        <v>5512</v>
      </c>
      <c r="F613" s="3066" t="s">
        <v>3917</v>
      </c>
      <c r="G613" s="3066" t="s">
        <v>3560</v>
      </c>
      <c r="H613" s="3066" t="s">
        <v>3560</v>
      </c>
      <c r="I613" s="3066" t="s">
        <v>5513</v>
      </c>
      <c r="J613" s="3066" t="s">
        <v>5513</v>
      </c>
      <c r="K613" s="3066" t="s">
        <v>3560</v>
      </c>
      <c r="L613" s="3066" t="s">
        <v>5514</v>
      </c>
      <c r="M613" s="3066" t="s">
        <v>5515</v>
      </c>
      <c r="N613" s="3066">
        <v>35.6</v>
      </c>
      <c r="O613" s="3066" t="s">
        <v>5211</v>
      </c>
      <c r="P613" s="3066" t="s">
        <v>3566</v>
      </c>
      <c r="Q613" s="3066">
        <v>1</v>
      </c>
      <c r="R613" s="3066">
        <v>2486</v>
      </c>
      <c r="S613" s="3066" t="s">
        <v>3567</v>
      </c>
      <c r="T613" s="3066">
        <v>21</v>
      </c>
      <c r="U613" s="3066">
        <v>747.6</v>
      </c>
      <c r="V613" s="3066" t="s">
        <v>3560</v>
      </c>
      <c r="W613" s="3066" t="s">
        <v>3568</v>
      </c>
      <c r="X613" s="3066">
        <v>2.2799999999999998</v>
      </c>
      <c r="Y613" s="3066">
        <v>974.4</v>
      </c>
      <c r="Z613" s="3066" t="s">
        <v>3568</v>
      </c>
      <c r="AA613" s="3066" t="s">
        <v>3560</v>
      </c>
      <c r="AB613" s="3066" t="s">
        <v>3943</v>
      </c>
      <c r="AC613" s="3066" t="s">
        <v>3943</v>
      </c>
      <c r="AD613" s="3066" t="s">
        <v>3943</v>
      </c>
      <c r="AE613" s="3066" t="s">
        <v>3560</v>
      </c>
      <c r="AF613" s="3067">
        <v>0</v>
      </c>
      <c r="AG613" s="3066">
        <v>0</v>
      </c>
      <c r="AH613" s="3066">
        <v>0</v>
      </c>
      <c r="AI613" s="3066">
        <v>0</v>
      </c>
      <c r="AJ613" s="3066">
        <v>0</v>
      </c>
      <c r="AK613" s="3066">
        <v>0</v>
      </c>
      <c r="AL613" s="3066">
        <v>0</v>
      </c>
      <c r="AM613" s="3066">
        <v>0</v>
      </c>
      <c r="AN613" s="3066" t="s">
        <v>3560</v>
      </c>
      <c r="AP613" s="3068">
        <f t="shared" si="9"/>
        <v>0</v>
      </c>
    </row>
    <row r="614" spans="2:42" ht="27" customHeight="1">
      <c r="B614" s="3066">
        <v>622</v>
      </c>
      <c r="C614" s="3066" t="s">
        <v>5490</v>
      </c>
      <c r="D614" s="3066" t="s">
        <v>4019</v>
      </c>
      <c r="E614" s="3066" t="s">
        <v>5516</v>
      </c>
      <c r="F614" s="3066" t="s">
        <v>3917</v>
      </c>
      <c r="G614" s="3066" t="s">
        <v>3560</v>
      </c>
      <c r="H614" s="3066" t="s">
        <v>3560</v>
      </c>
      <c r="I614" s="3066" t="s">
        <v>5517</v>
      </c>
      <c r="J614" s="3066" t="s">
        <v>5517</v>
      </c>
      <c r="K614" s="3066" t="s">
        <v>3560</v>
      </c>
      <c r="L614" s="3066" t="s">
        <v>5518</v>
      </c>
      <c r="M614" s="3066" t="s">
        <v>5519</v>
      </c>
      <c r="N614" s="3066">
        <v>35.6</v>
      </c>
      <c r="O614" s="3066" t="s">
        <v>4488</v>
      </c>
      <c r="P614" s="3066" t="s">
        <v>3566</v>
      </c>
      <c r="Q614" s="3066">
        <v>1</v>
      </c>
      <c r="R614" s="3066">
        <v>2380</v>
      </c>
      <c r="S614" s="3066" t="s">
        <v>3567</v>
      </c>
      <c r="T614" s="3066">
        <v>20</v>
      </c>
      <c r="U614" s="3066">
        <v>712</v>
      </c>
      <c r="V614" s="3066" t="s">
        <v>3560</v>
      </c>
      <c r="W614" s="3066" t="s">
        <v>3568</v>
      </c>
      <c r="X614" s="3066">
        <v>2.2799999999999998</v>
      </c>
      <c r="Y614" s="3066">
        <v>974.4</v>
      </c>
      <c r="Z614" s="3066" t="s">
        <v>3568</v>
      </c>
      <c r="AA614" s="3066" t="s">
        <v>3560</v>
      </c>
      <c r="AB614" s="3066" t="s">
        <v>4489</v>
      </c>
      <c r="AC614" s="3066" t="s">
        <v>4489</v>
      </c>
      <c r="AD614" s="3066" t="s">
        <v>4489</v>
      </c>
      <c r="AE614" s="3066" t="s">
        <v>3560</v>
      </c>
      <c r="AF614" s="3067">
        <v>712</v>
      </c>
      <c r="AG614" s="3066">
        <v>712</v>
      </c>
      <c r="AH614" s="3066">
        <v>81.2</v>
      </c>
      <c r="AI614" s="3066">
        <v>81.2</v>
      </c>
      <c r="AJ614" s="3066">
        <v>46.32</v>
      </c>
      <c r="AK614" s="3066">
        <v>46.32</v>
      </c>
      <c r="AL614" s="3066">
        <v>839.52</v>
      </c>
      <c r="AM614" s="3066">
        <v>839.52</v>
      </c>
      <c r="AN614" s="3066" t="s">
        <v>3560</v>
      </c>
      <c r="AP614" s="3068">
        <f t="shared" si="9"/>
        <v>20</v>
      </c>
    </row>
    <row r="615" spans="2:42" ht="27" customHeight="1">
      <c r="B615" s="3066">
        <v>623</v>
      </c>
      <c r="C615" s="3066" t="s">
        <v>5490</v>
      </c>
      <c r="D615" s="3066" t="s">
        <v>4019</v>
      </c>
      <c r="E615" s="3066" t="s">
        <v>5520</v>
      </c>
      <c r="F615" s="3066" t="s">
        <v>3917</v>
      </c>
      <c r="G615" s="3066" t="s">
        <v>1373</v>
      </c>
      <c r="H615" s="3066" t="s">
        <v>3560</v>
      </c>
      <c r="I615" s="3066" t="s">
        <v>5521</v>
      </c>
      <c r="J615" s="3066" t="s">
        <v>5521</v>
      </c>
      <c r="K615" s="3066" t="s">
        <v>3560</v>
      </c>
      <c r="L615" s="3066" t="s">
        <v>5522</v>
      </c>
      <c r="M615" s="3066" t="s">
        <v>5523</v>
      </c>
      <c r="N615" s="3066">
        <v>35.6</v>
      </c>
      <c r="O615" s="3066" t="s">
        <v>3608</v>
      </c>
      <c r="P615" s="3066" t="s">
        <v>3566</v>
      </c>
      <c r="Q615" s="3066">
        <v>1</v>
      </c>
      <c r="R615" s="3066">
        <v>3966</v>
      </c>
      <c r="S615" s="3066" t="s">
        <v>3567</v>
      </c>
      <c r="T615" s="3066">
        <v>20</v>
      </c>
      <c r="U615" s="3066">
        <v>712</v>
      </c>
      <c r="V615" s="3066" t="s">
        <v>3560</v>
      </c>
      <c r="W615" s="3066" t="s">
        <v>3568</v>
      </c>
      <c r="X615" s="3066">
        <v>2.2799999999999998</v>
      </c>
      <c r="Y615" s="3066">
        <v>974.4</v>
      </c>
      <c r="Z615" s="3066" t="s">
        <v>3568</v>
      </c>
      <c r="AA615" s="3066" t="s">
        <v>3560</v>
      </c>
      <c r="AB615" s="3066" t="s">
        <v>3609</v>
      </c>
      <c r="AC615" s="3066" t="s">
        <v>3609</v>
      </c>
      <c r="AD615" s="3066" t="s">
        <v>3609</v>
      </c>
      <c r="AE615" s="3066" t="s">
        <v>3560</v>
      </c>
      <c r="AF615" s="3067">
        <v>712</v>
      </c>
      <c r="AG615" s="3066">
        <v>712</v>
      </c>
      <c r="AH615" s="3066">
        <v>81.2</v>
      </c>
      <c r="AI615" s="3066">
        <v>81.2</v>
      </c>
      <c r="AJ615" s="3066">
        <v>16.579999999999998</v>
      </c>
      <c r="AK615" s="3066">
        <v>16.579999999999998</v>
      </c>
      <c r="AL615" s="3066">
        <v>809.78</v>
      </c>
      <c r="AM615" s="3066">
        <v>809.78</v>
      </c>
      <c r="AN615" s="3066" t="s">
        <v>3560</v>
      </c>
      <c r="AP615" s="3068">
        <f t="shared" si="9"/>
        <v>20</v>
      </c>
    </row>
    <row r="616" spans="2:42" ht="27" customHeight="1">
      <c r="B616" s="3066">
        <v>624</v>
      </c>
      <c r="C616" s="3066" t="s">
        <v>5490</v>
      </c>
      <c r="D616" s="3066" t="s">
        <v>4019</v>
      </c>
      <c r="E616" s="3066" t="s">
        <v>5524</v>
      </c>
      <c r="F616" s="3066" t="s">
        <v>3917</v>
      </c>
      <c r="G616" s="3066" t="s">
        <v>3560</v>
      </c>
      <c r="H616" s="3066" t="s">
        <v>3560</v>
      </c>
      <c r="I616" s="3066" t="s">
        <v>5498</v>
      </c>
      <c r="J616" s="3066" t="s">
        <v>5498</v>
      </c>
      <c r="K616" s="3066" t="s">
        <v>3560</v>
      </c>
      <c r="L616" s="3066" t="s">
        <v>5499</v>
      </c>
      <c r="M616" s="3066" t="s">
        <v>5525</v>
      </c>
      <c r="N616" s="3066">
        <v>35.6</v>
      </c>
      <c r="O616" s="3066" t="s">
        <v>3560</v>
      </c>
      <c r="P616" s="3066" t="s">
        <v>3560</v>
      </c>
      <c r="Q616" s="3066">
        <v>0</v>
      </c>
      <c r="R616" s="3066">
        <v>0</v>
      </c>
      <c r="S616" s="3066" t="s">
        <v>3577</v>
      </c>
      <c r="T616" s="3066">
        <v>0</v>
      </c>
      <c r="U616" s="3066">
        <v>0</v>
      </c>
      <c r="V616" s="3066" t="s">
        <v>3560</v>
      </c>
      <c r="W616" s="3066" t="s">
        <v>3568</v>
      </c>
      <c r="X616" s="3066">
        <v>0</v>
      </c>
      <c r="Y616" s="3066">
        <v>0</v>
      </c>
      <c r="Z616" s="3066" t="s">
        <v>3568</v>
      </c>
      <c r="AA616" s="3066" t="s">
        <v>3560</v>
      </c>
      <c r="AB616" s="3066" t="s">
        <v>3560</v>
      </c>
      <c r="AC616" s="3066" t="s">
        <v>3560</v>
      </c>
      <c r="AD616" s="3066" t="s">
        <v>3560</v>
      </c>
      <c r="AE616" s="3066" t="s">
        <v>3560</v>
      </c>
      <c r="AF616" s="3067">
        <v>0</v>
      </c>
      <c r="AG616" s="3066">
        <v>0</v>
      </c>
      <c r="AH616" s="3066">
        <v>0</v>
      </c>
      <c r="AI616" s="3066">
        <v>0</v>
      </c>
      <c r="AJ616" s="3066">
        <v>0</v>
      </c>
      <c r="AK616" s="3066">
        <v>0</v>
      </c>
      <c r="AL616" s="3066">
        <v>0</v>
      </c>
      <c r="AM616" s="3066">
        <v>0</v>
      </c>
      <c r="AN616" s="3066" t="s">
        <v>3560</v>
      </c>
      <c r="AP616" s="3068">
        <f t="shared" si="9"/>
        <v>0</v>
      </c>
    </row>
    <row r="617" spans="2:42" ht="27" customHeight="1">
      <c r="B617" s="3066">
        <v>625</v>
      </c>
      <c r="C617" s="3066" t="s">
        <v>5490</v>
      </c>
      <c r="D617" s="3066" t="s">
        <v>4019</v>
      </c>
      <c r="E617" s="3066" t="s">
        <v>5524</v>
      </c>
      <c r="F617" s="3066" t="s">
        <v>3917</v>
      </c>
      <c r="G617" s="3066" t="s">
        <v>3560</v>
      </c>
      <c r="H617" s="3066" t="s">
        <v>3560</v>
      </c>
      <c r="I617" s="3066" t="s">
        <v>5526</v>
      </c>
      <c r="J617" s="3066" t="s">
        <v>5526</v>
      </c>
      <c r="K617" s="3066" t="s">
        <v>3560</v>
      </c>
      <c r="L617" s="3066" t="s">
        <v>5527</v>
      </c>
      <c r="M617" s="3066" t="s">
        <v>5525</v>
      </c>
      <c r="N617" s="3066">
        <v>35.6</v>
      </c>
      <c r="O617" s="3066" t="s">
        <v>5211</v>
      </c>
      <c r="P617" s="3066" t="s">
        <v>3566</v>
      </c>
      <c r="Q617" s="3066">
        <v>1</v>
      </c>
      <c r="R617" s="3066">
        <v>2486</v>
      </c>
      <c r="S617" s="3066" t="s">
        <v>3567</v>
      </c>
      <c r="T617" s="3066">
        <v>21</v>
      </c>
      <c r="U617" s="3066">
        <v>747.6</v>
      </c>
      <c r="V617" s="3066" t="s">
        <v>3560</v>
      </c>
      <c r="W617" s="3066" t="s">
        <v>3568</v>
      </c>
      <c r="X617" s="3066">
        <v>2.2799999999999998</v>
      </c>
      <c r="Y617" s="3066">
        <v>974.4</v>
      </c>
      <c r="Z617" s="3066" t="s">
        <v>3568</v>
      </c>
      <c r="AA617" s="3066" t="s">
        <v>3560</v>
      </c>
      <c r="AB617" s="3066" t="s">
        <v>3943</v>
      </c>
      <c r="AC617" s="3066" t="s">
        <v>3943</v>
      </c>
      <c r="AD617" s="3066" t="s">
        <v>3943</v>
      </c>
      <c r="AE617" s="3066" t="s">
        <v>3560</v>
      </c>
      <c r="AF617" s="3067">
        <v>0</v>
      </c>
      <c r="AG617" s="3066">
        <v>0</v>
      </c>
      <c r="AH617" s="3066">
        <v>0</v>
      </c>
      <c r="AI617" s="3066">
        <v>0</v>
      </c>
      <c r="AJ617" s="3066">
        <v>0</v>
      </c>
      <c r="AK617" s="3066">
        <v>0</v>
      </c>
      <c r="AL617" s="3066">
        <v>0</v>
      </c>
      <c r="AM617" s="3066">
        <v>0</v>
      </c>
      <c r="AN617" s="3066" t="s">
        <v>3560</v>
      </c>
      <c r="AP617" s="3068">
        <f t="shared" si="9"/>
        <v>0</v>
      </c>
    </row>
    <row r="618" spans="2:42" ht="27" customHeight="1">
      <c r="B618" s="3066">
        <v>626</v>
      </c>
      <c r="C618" s="3066" t="s">
        <v>5490</v>
      </c>
      <c r="D618" s="3066" t="s">
        <v>4019</v>
      </c>
      <c r="E618" s="3066" t="s">
        <v>5528</v>
      </c>
      <c r="F618" s="3066" t="s">
        <v>3917</v>
      </c>
      <c r="G618" s="3066" t="s">
        <v>1373</v>
      </c>
      <c r="H618" s="3066" t="s">
        <v>3560</v>
      </c>
      <c r="I618" s="3066" t="s">
        <v>5529</v>
      </c>
      <c r="J618" s="3066" t="s">
        <v>3560</v>
      </c>
      <c r="K618" s="3066" t="s">
        <v>3560</v>
      </c>
      <c r="L618" s="3066" t="s">
        <v>5530</v>
      </c>
      <c r="M618" s="3066" t="s">
        <v>5531</v>
      </c>
      <c r="N618" s="3066">
        <v>39.700000000000003</v>
      </c>
      <c r="O618" s="3066" t="s">
        <v>3950</v>
      </c>
      <c r="P618" s="3066" t="s">
        <v>3566</v>
      </c>
      <c r="Q618" s="3066">
        <v>1</v>
      </c>
      <c r="R618" s="3066">
        <v>6950</v>
      </c>
      <c r="S618" s="3066" t="s">
        <v>3567</v>
      </c>
      <c r="T618" s="3066">
        <v>21</v>
      </c>
      <c r="U618" s="3066">
        <v>833.7</v>
      </c>
      <c r="V618" s="3066" t="s">
        <v>3560</v>
      </c>
      <c r="W618" s="3066" t="s">
        <v>3568</v>
      </c>
      <c r="X618" s="3066">
        <v>2.25</v>
      </c>
      <c r="Y618" s="3066">
        <v>1072.8</v>
      </c>
      <c r="Z618" s="3066" t="s">
        <v>3568</v>
      </c>
      <c r="AA618" s="3066" t="s">
        <v>3560</v>
      </c>
      <c r="AB618" s="3066" t="s">
        <v>3951</v>
      </c>
      <c r="AC618" s="3066" t="s">
        <v>3951</v>
      </c>
      <c r="AD618" s="3066" t="s">
        <v>3951</v>
      </c>
      <c r="AE618" s="3066" t="s">
        <v>3560</v>
      </c>
      <c r="AF618" s="3067">
        <v>833.7</v>
      </c>
      <c r="AG618" s="3066">
        <v>833.7</v>
      </c>
      <c r="AH618" s="3066">
        <v>89.4</v>
      </c>
      <c r="AI618" s="3066">
        <v>89.4</v>
      </c>
      <c r="AJ618" s="3066">
        <v>32.979999999999997</v>
      </c>
      <c r="AK618" s="3066">
        <v>32.979999999999997</v>
      </c>
      <c r="AL618" s="3066">
        <v>956.08</v>
      </c>
      <c r="AM618" s="3066">
        <v>956.08</v>
      </c>
      <c r="AN618" s="3066" t="s">
        <v>3560</v>
      </c>
      <c r="AP618" s="3068">
        <f t="shared" si="9"/>
        <v>21</v>
      </c>
    </row>
    <row r="619" spans="2:42" ht="27" customHeight="1">
      <c r="B619" s="3066">
        <v>627</v>
      </c>
      <c r="C619" s="3066" t="s">
        <v>5490</v>
      </c>
      <c r="D619" s="3066" t="s">
        <v>4053</v>
      </c>
      <c r="E619" s="3066" t="s">
        <v>5532</v>
      </c>
      <c r="F619" s="3066" t="s">
        <v>3917</v>
      </c>
      <c r="G619" s="3066" t="s">
        <v>3560</v>
      </c>
      <c r="H619" s="3066" t="s">
        <v>3560</v>
      </c>
      <c r="I619" s="3066" t="s">
        <v>5533</v>
      </c>
      <c r="J619" s="3066" t="s">
        <v>5533</v>
      </c>
      <c r="K619" s="3066" t="s">
        <v>3560</v>
      </c>
      <c r="L619" s="3066" t="s">
        <v>5534</v>
      </c>
      <c r="M619" s="3066" t="s">
        <v>5535</v>
      </c>
      <c r="N619" s="3066">
        <v>35.6</v>
      </c>
      <c r="O619" s="3066" t="s">
        <v>3619</v>
      </c>
      <c r="P619" s="3066" t="s">
        <v>3566</v>
      </c>
      <c r="Q619" s="3066">
        <v>1</v>
      </c>
      <c r="R619" s="3066">
        <v>2380</v>
      </c>
      <c r="S619" s="3066" t="s">
        <v>3567</v>
      </c>
      <c r="T619" s="3066">
        <v>20</v>
      </c>
      <c r="U619" s="3066">
        <v>712</v>
      </c>
      <c r="V619" s="3066" t="s">
        <v>3560</v>
      </c>
      <c r="W619" s="3066" t="s">
        <v>3568</v>
      </c>
      <c r="X619" s="3066">
        <v>2.2799999999999998</v>
      </c>
      <c r="Y619" s="3066">
        <v>974.4</v>
      </c>
      <c r="Z619" s="3066" t="s">
        <v>3568</v>
      </c>
      <c r="AA619" s="3066" t="s">
        <v>3560</v>
      </c>
      <c r="AB619" s="3066" t="s">
        <v>3584</v>
      </c>
      <c r="AC619" s="3066" t="s">
        <v>3584</v>
      </c>
      <c r="AD619" s="3066" t="s">
        <v>3584</v>
      </c>
      <c r="AE619" s="3066" t="s">
        <v>3560</v>
      </c>
      <c r="AF619" s="3067">
        <v>712</v>
      </c>
      <c r="AG619" s="3066">
        <v>712</v>
      </c>
      <c r="AH619" s="3066">
        <v>81.2</v>
      </c>
      <c r="AI619" s="3066">
        <v>81.2</v>
      </c>
      <c r="AJ619" s="3066">
        <v>92.13</v>
      </c>
      <c r="AK619" s="3066">
        <v>92.13</v>
      </c>
      <c r="AL619" s="3066">
        <v>885.33</v>
      </c>
      <c r="AM619" s="3066">
        <v>885.33</v>
      </c>
      <c r="AN619" s="3066" t="s">
        <v>3560</v>
      </c>
      <c r="AP619" s="3068">
        <f t="shared" si="9"/>
        <v>20</v>
      </c>
    </row>
    <row r="620" spans="2:42" ht="27" customHeight="1">
      <c r="B620" s="3066">
        <v>628</v>
      </c>
      <c r="C620" s="3066" t="s">
        <v>5490</v>
      </c>
      <c r="D620" s="3066" t="s">
        <v>4053</v>
      </c>
      <c r="E620" s="3066" t="s">
        <v>5536</v>
      </c>
      <c r="F620" s="3066" t="s">
        <v>3917</v>
      </c>
      <c r="G620" s="3066" t="s">
        <v>1373</v>
      </c>
      <c r="H620" s="3066" t="s">
        <v>3560</v>
      </c>
      <c r="I620" s="3066" t="s">
        <v>3637</v>
      </c>
      <c r="J620" s="3066" t="s">
        <v>3638</v>
      </c>
      <c r="K620" s="3066" t="s">
        <v>3560</v>
      </c>
      <c r="L620" s="3066" t="s">
        <v>3639</v>
      </c>
      <c r="M620" s="3066" t="s">
        <v>5537</v>
      </c>
      <c r="N620" s="3066">
        <v>35.6</v>
      </c>
      <c r="O620" s="3066" t="s">
        <v>3619</v>
      </c>
      <c r="P620" s="3066" t="s">
        <v>3566</v>
      </c>
      <c r="Q620" s="3066">
        <v>1</v>
      </c>
      <c r="R620" s="3066">
        <v>0</v>
      </c>
      <c r="S620" s="3066" t="s">
        <v>3577</v>
      </c>
      <c r="T620" s="3066">
        <v>20</v>
      </c>
      <c r="U620" s="3066">
        <v>712</v>
      </c>
      <c r="V620" s="3066" t="s">
        <v>3560</v>
      </c>
      <c r="W620" s="3066" t="s">
        <v>3568</v>
      </c>
      <c r="X620" s="3066">
        <v>2</v>
      </c>
      <c r="Y620" s="3066">
        <v>854.4</v>
      </c>
      <c r="Z620" s="3066" t="s">
        <v>3568</v>
      </c>
      <c r="AA620" s="3066" t="s">
        <v>3560</v>
      </c>
      <c r="AB620" s="3066" t="s">
        <v>3584</v>
      </c>
      <c r="AC620" s="3066" t="s">
        <v>3584</v>
      </c>
      <c r="AD620" s="3066" t="s">
        <v>3584</v>
      </c>
      <c r="AE620" s="3066" t="s">
        <v>3560</v>
      </c>
      <c r="AF620" s="3067">
        <v>712</v>
      </c>
      <c r="AG620" s="3066">
        <v>0</v>
      </c>
      <c r="AH620" s="3066">
        <v>71.2</v>
      </c>
      <c r="AI620" s="3066">
        <v>0</v>
      </c>
      <c r="AJ620" s="3066">
        <v>66.61</v>
      </c>
      <c r="AK620" s="3066">
        <v>0</v>
      </c>
      <c r="AL620" s="3066">
        <v>849.81</v>
      </c>
      <c r="AM620" s="3066">
        <v>0</v>
      </c>
      <c r="AN620" s="3066" t="s">
        <v>3560</v>
      </c>
      <c r="AP620" s="3068">
        <f t="shared" si="9"/>
        <v>20</v>
      </c>
    </row>
    <row r="621" spans="2:42" ht="27" customHeight="1">
      <c r="B621" s="3066">
        <v>629</v>
      </c>
      <c r="C621" s="3066" t="s">
        <v>5490</v>
      </c>
      <c r="D621" s="3066" t="s">
        <v>4053</v>
      </c>
      <c r="E621" s="3066" t="s">
        <v>5538</v>
      </c>
      <c r="F621" s="3066" t="s">
        <v>3917</v>
      </c>
      <c r="G621" s="3066" t="s">
        <v>1373</v>
      </c>
      <c r="H621" s="3066" t="s">
        <v>3560</v>
      </c>
      <c r="I621" s="3066" t="s">
        <v>5539</v>
      </c>
      <c r="J621" s="3066" t="s">
        <v>3560</v>
      </c>
      <c r="K621" s="3066" t="s">
        <v>3560</v>
      </c>
      <c r="L621" s="3066" t="s">
        <v>5540</v>
      </c>
      <c r="M621" s="3066" t="s">
        <v>5541</v>
      </c>
      <c r="N621" s="3066">
        <v>35.6</v>
      </c>
      <c r="O621" s="3066" t="s">
        <v>4008</v>
      </c>
      <c r="P621" s="3066" t="s">
        <v>3566</v>
      </c>
      <c r="Q621" s="3066">
        <v>1</v>
      </c>
      <c r="R621" s="3066">
        <v>3966</v>
      </c>
      <c r="S621" s="3066" t="s">
        <v>3567</v>
      </c>
      <c r="T621" s="3066">
        <v>20</v>
      </c>
      <c r="U621" s="3066">
        <v>712</v>
      </c>
      <c r="V621" s="3066" t="s">
        <v>3560</v>
      </c>
      <c r="W621" s="3066" t="s">
        <v>3568</v>
      </c>
      <c r="X621" s="3066">
        <v>2.2799999999999998</v>
      </c>
      <c r="Y621" s="3066">
        <v>974.4</v>
      </c>
      <c r="Z621" s="3066" t="s">
        <v>3568</v>
      </c>
      <c r="AA621" s="3066" t="s">
        <v>3560</v>
      </c>
      <c r="AB621" s="3066" t="s">
        <v>3692</v>
      </c>
      <c r="AC621" s="3066" t="s">
        <v>3692</v>
      </c>
      <c r="AD621" s="3066" t="s">
        <v>3692</v>
      </c>
      <c r="AE621" s="3066" t="s">
        <v>3560</v>
      </c>
      <c r="AF621" s="3067">
        <v>0</v>
      </c>
      <c r="AG621" s="3066">
        <v>0</v>
      </c>
      <c r="AH621" s="3066">
        <v>0</v>
      </c>
      <c r="AI621" s="3066">
        <v>0</v>
      </c>
      <c r="AJ621" s="3066">
        <v>43.85</v>
      </c>
      <c r="AK621" s="3066">
        <v>0</v>
      </c>
      <c r="AL621" s="3066">
        <v>43.85</v>
      </c>
      <c r="AM621" s="3066">
        <v>0</v>
      </c>
      <c r="AN621" s="3066" t="s">
        <v>3560</v>
      </c>
      <c r="AP621" s="3068">
        <f t="shared" si="9"/>
        <v>0</v>
      </c>
    </row>
    <row r="622" spans="2:42" ht="27" customHeight="1">
      <c r="B622" s="3066">
        <v>630</v>
      </c>
      <c r="C622" s="3066" t="s">
        <v>5490</v>
      </c>
      <c r="D622" s="3066" t="s">
        <v>4053</v>
      </c>
      <c r="E622" s="3066" t="s">
        <v>5542</v>
      </c>
      <c r="F622" s="3066" t="s">
        <v>3917</v>
      </c>
      <c r="G622" s="3066" t="s">
        <v>3560</v>
      </c>
      <c r="H622" s="3066" t="s">
        <v>3560</v>
      </c>
      <c r="I622" s="3066" t="s">
        <v>5543</v>
      </c>
      <c r="J622" s="3066" t="s">
        <v>5543</v>
      </c>
      <c r="K622" s="3066" t="s">
        <v>3560</v>
      </c>
      <c r="L622" s="3066" t="s">
        <v>5544</v>
      </c>
      <c r="M622" s="3066" t="s">
        <v>5545</v>
      </c>
      <c r="N622" s="3066">
        <v>35.6</v>
      </c>
      <c r="O622" s="3066" t="s">
        <v>4488</v>
      </c>
      <c r="P622" s="3066" t="s">
        <v>3566</v>
      </c>
      <c r="Q622" s="3066">
        <v>1</v>
      </c>
      <c r="R622" s="3066">
        <v>3966</v>
      </c>
      <c r="S622" s="3066" t="s">
        <v>3567</v>
      </c>
      <c r="T622" s="3066">
        <v>20</v>
      </c>
      <c r="U622" s="3066">
        <v>712</v>
      </c>
      <c r="V622" s="3066" t="s">
        <v>3560</v>
      </c>
      <c r="W622" s="3066" t="s">
        <v>3568</v>
      </c>
      <c r="X622" s="3066">
        <v>2.2799999999999998</v>
      </c>
      <c r="Y622" s="3066">
        <v>974.4</v>
      </c>
      <c r="Z622" s="3066" t="s">
        <v>3568</v>
      </c>
      <c r="AA622" s="3066" t="s">
        <v>3560</v>
      </c>
      <c r="AB622" s="3066" t="s">
        <v>4489</v>
      </c>
      <c r="AC622" s="3066" t="s">
        <v>4489</v>
      </c>
      <c r="AD622" s="3066" t="s">
        <v>4489</v>
      </c>
      <c r="AE622" s="3066" t="s">
        <v>3560</v>
      </c>
      <c r="AF622" s="3067">
        <v>712</v>
      </c>
      <c r="AG622" s="3066">
        <v>712</v>
      </c>
      <c r="AH622" s="3066">
        <v>81.2</v>
      </c>
      <c r="AI622" s="3066">
        <v>81.2</v>
      </c>
      <c r="AJ622" s="3066">
        <v>78.11</v>
      </c>
      <c r="AK622" s="3066">
        <v>78.11</v>
      </c>
      <c r="AL622" s="3066">
        <v>871.31</v>
      </c>
      <c r="AM622" s="3066">
        <v>871.31</v>
      </c>
      <c r="AN622" s="3066" t="s">
        <v>3560</v>
      </c>
      <c r="AP622" s="3068">
        <f t="shared" si="9"/>
        <v>20</v>
      </c>
    </row>
    <row r="623" spans="2:42" ht="27" customHeight="1">
      <c r="B623" s="3066">
        <v>631</v>
      </c>
      <c r="C623" s="3066" t="s">
        <v>5490</v>
      </c>
      <c r="D623" s="3066" t="s">
        <v>4053</v>
      </c>
      <c r="E623" s="3066" t="s">
        <v>5546</v>
      </c>
      <c r="F623" s="3066" t="s">
        <v>3917</v>
      </c>
      <c r="G623" s="3066" t="s">
        <v>1373</v>
      </c>
      <c r="H623" s="3066" t="s">
        <v>3560</v>
      </c>
      <c r="I623" s="3066" t="s">
        <v>3637</v>
      </c>
      <c r="J623" s="3066" t="s">
        <v>3638</v>
      </c>
      <c r="K623" s="3066" t="s">
        <v>3560</v>
      </c>
      <c r="L623" s="3066" t="s">
        <v>3639</v>
      </c>
      <c r="M623" s="3066" t="s">
        <v>5547</v>
      </c>
      <c r="N623" s="3066">
        <v>35.6</v>
      </c>
      <c r="O623" s="3066" t="s">
        <v>3619</v>
      </c>
      <c r="P623" s="3066" t="s">
        <v>3566</v>
      </c>
      <c r="Q623" s="3066">
        <v>1</v>
      </c>
      <c r="R623" s="3066">
        <v>0</v>
      </c>
      <c r="S623" s="3066" t="s">
        <v>3577</v>
      </c>
      <c r="T623" s="3066">
        <v>20</v>
      </c>
      <c r="U623" s="3066">
        <v>712</v>
      </c>
      <c r="V623" s="3066" t="s">
        <v>3560</v>
      </c>
      <c r="W623" s="3066" t="s">
        <v>3568</v>
      </c>
      <c r="X623" s="3066">
        <v>2</v>
      </c>
      <c r="Y623" s="3066">
        <v>854.4</v>
      </c>
      <c r="Z623" s="3066" t="s">
        <v>3568</v>
      </c>
      <c r="AA623" s="3066" t="s">
        <v>3560</v>
      </c>
      <c r="AB623" s="3066" t="s">
        <v>3584</v>
      </c>
      <c r="AC623" s="3066" t="s">
        <v>3584</v>
      </c>
      <c r="AD623" s="3066" t="s">
        <v>3584</v>
      </c>
      <c r="AE623" s="3066" t="s">
        <v>3560</v>
      </c>
      <c r="AF623" s="3067">
        <v>712</v>
      </c>
      <c r="AG623" s="3066">
        <v>0</v>
      </c>
      <c r="AH623" s="3066">
        <v>71.2</v>
      </c>
      <c r="AI623" s="3066">
        <v>0</v>
      </c>
      <c r="AJ623" s="3066">
        <v>44.78</v>
      </c>
      <c r="AK623" s="3066">
        <v>0</v>
      </c>
      <c r="AL623" s="3066">
        <v>827.98</v>
      </c>
      <c r="AM623" s="3066">
        <v>0</v>
      </c>
      <c r="AN623" s="3066" t="s">
        <v>3560</v>
      </c>
      <c r="AP623" s="3068">
        <f t="shared" si="9"/>
        <v>20</v>
      </c>
    </row>
    <row r="624" spans="2:42" ht="27" customHeight="1">
      <c r="B624" s="3066">
        <v>632</v>
      </c>
      <c r="C624" s="3066" t="s">
        <v>5490</v>
      </c>
      <c r="D624" s="3066" t="s">
        <v>4053</v>
      </c>
      <c r="E624" s="3066" t="s">
        <v>5548</v>
      </c>
      <c r="F624" s="3066" t="s">
        <v>3917</v>
      </c>
      <c r="G624" s="3066" t="s">
        <v>1373</v>
      </c>
      <c r="H624" s="3066" t="s">
        <v>3560</v>
      </c>
      <c r="I624" s="3066" t="s">
        <v>4562</v>
      </c>
      <c r="J624" s="3066" t="s">
        <v>3560</v>
      </c>
      <c r="K624" s="3066" t="s">
        <v>3560</v>
      </c>
      <c r="L624" s="3066" t="s">
        <v>3905</v>
      </c>
      <c r="M624" s="3066" t="s">
        <v>5549</v>
      </c>
      <c r="N624" s="3066">
        <v>35.6</v>
      </c>
      <c r="O624" s="3066" t="s">
        <v>3939</v>
      </c>
      <c r="P624" s="3066" t="s">
        <v>3940</v>
      </c>
      <c r="Q624" s="3066">
        <v>1</v>
      </c>
      <c r="R624" s="3066">
        <v>244</v>
      </c>
      <c r="S624" s="3066" t="s">
        <v>3567</v>
      </c>
      <c r="T624" s="3066">
        <v>20</v>
      </c>
      <c r="U624" s="3066">
        <v>712</v>
      </c>
      <c r="V624" s="3066" t="s">
        <v>3560</v>
      </c>
      <c r="W624" s="3066" t="s">
        <v>3568</v>
      </c>
      <c r="X624" s="3066">
        <v>2.2799999999999998</v>
      </c>
      <c r="Y624" s="3066">
        <v>974.4</v>
      </c>
      <c r="Z624" s="3066" t="s">
        <v>3568</v>
      </c>
      <c r="AA624" s="3066" t="s">
        <v>3560</v>
      </c>
      <c r="AB624" s="3066" t="s">
        <v>3941</v>
      </c>
      <c r="AC624" s="3066" t="s">
        <v>3941</v>
      </c>
      <c r="AD624" s="3066" t="s">
        <v>3941</v>
      </c>
      <c r="AE624" s="3066" t="s">
        <v>3560</v>
      </c>
      <c r="AF624" s="3067">
        <v>712</v>
      </c>
      <c r="AG624" s="3066">
        <v>712</v>
      </c>
      <c r="AH624" s="3066">
        <v>81.2</v>
      </c>
      <c r="AI624" s="3066">
        <v>81.2</v>
      </c>
      <c r="AJ624" s="3066">
        <v>66.38</v>
      </c>
      <c r="AK624" s="3066">
        <v>66.38</v>
      </c>
      <c r="AL624" s="3066">
        <v>859.58</v>
      </c>
      <c r="AM624" s="3066">
        <v>859.58</v>
      </c>
      <c r="AN624" s="3066" t="s">
        <v>3560</v>
      </c>
      <c r="AP624" s="3068">
        <f t="shared" si="9"/>
        <v>20</v>
      </c>
    </row>
    <row r="625" spans="2:42" ht="27" customHeight="1">
      <c r="B625" s="3066">
        <v>633</v>
      </c>
      <c r="C625" s="3066" t="s">
        <v>5490</v>
      </c>
      <c r="D625" s="3066" t="s">
        <v>4053</v>
      </c>
      <c r="E625" s="3066" t="s">
        <v>5548</v>
      </c>
      <c r="F625" s="3066" t="s">
        <v>3917</v>
      </c>
      <c r="G625" s="3066" t="s">
        <v>1373</v>
      </c>
      <c r="H625" s="3066" t="s">
        <v>3560</v>
      </c>
      <c r="I625" s="3066" t="s">
        <v>4562</v>
      </c>
      <c r="J625" s="3066" t="s">
        <v>3560</v>
      </c>
      <c r="K625" s="3066" t="s">
        <v>3560</v>
      </c>
      <c r="L625" s="3066" t="s">
        <v>3905</v>
      </c>
      <c r="M625" s="3066" t="s">
        <v>5549</v>
      </c>
      <c r="N625" s="3066">
        <v>35.6</v>
      </c>
      <c r="O625" s="3066" t="s">
        <v>5211</v>
      </c>
      <c r="P625" s="3066" t="s">
        <v>3566</v>
      </c>
      <c r="Q625" s="3066">
        <v>1</v>
      </c>
      <c r="R625" s="3066">
        <v>244</v>
      </c>
      <c r="S625" s="3066" t="s">
        <v>3567</v>
      </c>
      <c r="T625" s="3066">
        <v>21</v>
      </c>
      <c r="U625" s="3066">
        <v>747.6</v>
      </c>
      <c r="V625" s="3066" t="s">
        <v>3560</v>
      </c>
      <c r="W625" s="3066" t="s">
        <v>3568</v>
      </c>
      <c r="X625" s="3066">
        <v>2.2799999999999998</v>
      </c>
      <c r="Y625" s="3066">
        <v>974.4</v>
      </c>
      <c r="Z625" s="3066" t="s">
        <v>3568</v>
      </c>
      <c r="AA625" s="3066" t="s">
        <v>3560</v>
      </c>
      <c r="AB625" s="3066" t="s">
        <v>3943</v>
      </c>
      <c r="AC625" s="3066" t="s">
        <v>3943</v>
      </c>
      <c r="AD625" s="3066" t="s">
        <v>3943</v>
      </c>
      <c r="AE625" s="3066" t="s">
        <v>3560</v>
      </c>
      <c r="AF625" s="3067">
        <v>712</v>
      </c>
      <c r="AG625" s="3066">
        <v>712</v>
      </c>
      <c r="AH625" s="3066">
        <v>81.2</v>
      </c>
      <c r="AI625" s="3066">
        <v>81.2</v>
      </c>
      <c r="AJ625" s="3066">
        <v>66.38</v>
      </c>
      <c r="AK625" s="3066">
        <v>66.38</v>
      </c>
      <c r="AL625" s="3066">
        <v>859.58</v>
      </c>
      <c r="AM625" s="3066">
        <v>859.58</v>
      </c>
      <c r="AN625" s="3066" t="s">
        <v>3560</v>
      </c>
      <c r="AP625" s="3068">
        <f t="shared" si="9"/>
        <v>20</v>
      </c>
    </row>
    <row r="626" spans="2:42" ht="27" customHeight="1">
      <c r="B626" s="3066">
        <v>634</v>
      </c>
      <c r="C626" s="3066" t="s">
        <v>5490</v>
      </c>
      <c r="D626" s="3066" t="s">
        <v>4053</v>
      </c>
      <c r="E626" s="3066" t="s">
        <v>5550</v>
      </c>
      <c r="F626" s="3066" t="s">
        <v>3917</v>
      </c>
      <c r="G626" s="3066" t="s">
        <v>1373</v>
      </c>
      <c r="H626" s="3066" t="s">
        <v>3560</v>
      </c>
      <c r="I626" s="3066" t="s">
        <v>5551</v>
      </c>
      <c r="J626" s="3066" t="s">
        <v>5551</v>
      </c>
      <c r="K626" s="3066" t="s">
        <v>3560</v>
      </c>
      <c r="L626" s="3066" t="s">
        <v>5552</v>
      </c>
      <c r="M626" s="3066" t="s">
        <v>5553</v>
      </c>
      <c r="N626" s="3066">
        <v>35.6</v>
      </c>
      <c r="O626" s="3066" t="s">
        <v>5554</v>
      </c>
      <c r="P626" s="3066" t="s">
        <v>3745</v>
      </c>
      <c r="Q626" s="3066">
        <v>0</v>
      </c>
      <c r="R626" s="3066">
        <v>2382</v>
      </c>
      <c r="S626" s="3066" t="s">
        <v>3567</v>
      </c>
      <c r="T626" s="3066">
        <v>20</v>
      </c>
      <c r="U626" s="3066">
        <v>712</v>
      </c>
      <c r="V626" s="3066" t="s">
        <v>3560</v>
      </c>
      <c r="W626" s="3066" t="s">
        <v>3568</v>
      </c>
      <c r="X626" s="3066">
        <v>2.2799999999999998</v>
      </c>
      <c r="Y626" s="3066">
        <v>974.4</v>
      </c>
      <c r="Z626" s="3066" t="s">
        <v>3568</v>
      </c>
      <c r="AA626" s="3066" t="s">
        <v>3560</v>
      </c>
      <c r="AB626" s="3066" t="s">
        <v>5555</v>
      </c>
      <c r="AC626" s="3066" t="s">
        <v>5555</v>
      </c>
      <c r="AD626" s="3066" t="s">
        <v>5555</v>
      </c>
      <c r="AE626" s="3066" t="s">
        <v>3560</v>
      </c>
      <c r="AF626" s="3067">
        <v>712</v>
      </c>
      <c r="AG626" s="3066">
        <v>0</v>
      </c>
      <c r="AH626" s="3066">
        <v>81.2</v>
      </c>
      <c r="AI626" s="3066">
        <v>0</v>
      </c>
      <c r="AJ626" s="3066">
        <v>168.77</v>
      </c>
      <c r="AK626" s="3066">
        <v>0</v>
      </c>
      <c r="AL626" s="3066">
        <v>961.97</v>
      </c>
      <c r="AM626" s="3066">
        <v>0</v>
      </c>
      <c r="AN626" s="3066" t="s">
        <v>3560</v>
      </c>
      <c r="AP626" s="3068">
        <f t="shared" si="9"/>
        <v>20</v>
      </c>
    </row>
    <row r="627" spans="2:42" ht="27" customHeight="1">
      <c r="B627" s="3066">
        <v>635</v>
      </c>
      <c r="C627" s="3066" t="s">
        <v>5490</v>
      </c>
      <c r="D627" s="3066" t="s">
        <v>4053</v>
      </c>
      <c r="E627" s="3066" t="s">
        <v>5550</v>
      </c>
      <c r="F627" s="3066" t="s">
        <v>3917</v>
      </c>
      <c r="G627" s="3066" t="s">
        <v>3560</v>
      </c>
      <c r="H627" s="3066" t="s">
        <v>3560</v>
      </c>
      <c r="I627" s="3066" t="s">
        <v>4402</v>
      </c>
      <c r="J627" s="3066" t="s">
        <v>4402</v>
      </c>
      <c r="K627" s="3066" t="s">
        <v>3560</v>
      </c>
      <c r="L627" s="3066" t="s">
        <v>4403</v>
      </c>
      <c r="M627" s="3066" t="s">
        <v>5553</v>
      </c>
      <c r="N627" s="3066">
        <v>35.6</v>
      </c>
      <c r="O627" s="3066" t="s">
        <v>5211</v>
      </c>
      <c r="P627" s="3066" t="s">
        <v>3566</v>
      </c>
      <c r="Q627" s="3066">
        <v>1</v>
      </c>
      <c r="R627" s="3066">
        <v>2486</v>
      </c>
      <c r="S627" s="3066" t="s">
        <v>3567</v>
      </c>
      <c r="T627" s="3066">
        <v>21</v>
      </c>
      <c r="U627" s="3066">
        <v>747.6</v>
      </c>
      <c r="V627" s="3066" t="s">
        <v>3560</v>
      </c>
      <c r="W627" s="3066" t="s">
        <v>3568</v>
      </c>
      <c r="X627" s="3066">
        <v>2.2799999999999998</v>
      </c>
      <c r="Y627" s="3066">
        <v>974.4</v>
      </c>
      <c r="Z627" s="3066" t="s">
        <v>3568</v>
      </c>
      <c r="AA627" s="3066" t="s">
        <v>3560</v>
      </c>
      <c r="AB627" s="3066" t="s">
        <v>3943</v>
      </c>
      <c r="AC627" s="3066" t="s">
        <v>3943</v>
      </c>
      <c r="AD627" s="3066" t="s">
        <v>3943</v>
      </c>
      <c r="AE627" s="3066" t="s">
        <v>3560</v>
      </c>
      <c r="AF627" s="3067">
        <v>0</v>
      </c>
      <c r="AG627" s="3066">
        <v>0</v>
      </c>
      <c r="AH627" s="3066">
        <v>0</v>
      </c>
      <c r="AI627" s="3066">
        <v>0</v>
      </c>
      <c r="AJ627" s="3066">
        <v>0</v>
      </c>
      <c r="AK627" s="3066">
        <v>0</v>
      </c>
      <c r="AL627" s="3066">
        <v>0</v>
      </c>
      <c r="AM627" s="3066">
        <v>0</v>
      </c>
      <c r="AN627" s="3066" t="s">
        <v>3560</v>
      </c>
      <c r="AP627" s="3068">
        <f t="shared" si="9"/>
        <v>0</v>
      </c>
    </row>
    <row r="628" spans="2:42" ht="27" customHeight="1">
      <c r="B628" s="3066">
        <v>636</v>
      </c>
      <c r="C628" s="3066" t="s">
        <v>5490</v>
      </c>
      <c r="D628" s="3066" t="s">
        <v>4053</v>
      </c>
      <c r="E628" s="3066" t="s">
        <v>5556</v>
      </c>
      <c r="F628" s="3066" t="s">
        <v>3917</v>
      </c>
      <c r="G628" s="3066" t="s">
        <v>1373</v>
      </c>
      <c r="H628" s="3066" t="s">
        <v>3560</v>
      </c>
      <c r="I628" s="3066" t="s">
        <v>4325</v>
      </c>
      <c r="J628" s="3066" t="s">
        <v>4326</v>
      </c>
      <c r="K628" s="3066" t="s">
        <v>3560</v>
      </c>
      <c r="L628" s="3066" t="s">
        <v>4327</v>
      </c>
      <c r="M628" s="3066" t="s">
        <v>5557</v>
      </c>
      <c r="N628" s="3066">
        <v>35.6</v>
      </c>
      <c r="O628" s="3066" t="s">
        <v>3619</v>
      </c>
      <c r="P628" s="3066" t="s">
        <v>3566</v>
      </c>
      <c r="Q628" s="3066">
        <v>1</v>
      </c>
      <c r="R628" s="3066">
        <v>811.7</v>
      </c>
      <c r="S628" s="3066" t="s">
        <v>3567</v>
      </c>
      <c r="T628" s="3066">
        <v>20</v>
      </c>
      <c r="U628" s="3066">
        <v>712</v>
      </c>
      <c r="V628" s="3066" t="s">
        <v>3560</v>
      </c>
      <c r="W628" s="3066" t="s">
        <v>3568</v>
      </c>
      <c r="X628" s="3066">
        <v>2</v>
      </c>
      <c r="Y628" s="3066">
        <v>854.4</v>
      </c>
      <c r="Z628" s="3066" t="s">
        <v>3568</v>
      </c>
      <c r="AA628" s="3066" t="s">
        <v>3560</v>
      </c>
      <c r="AB628" s="3066" t="s">
        <v>3584</v>
      </c>
      <c r="AC628" s="3066" t="s">
        <v>3584</v>
      </c>
      <c r="AD628" s="3066" t="s">
        <v>3584</v>
      </c>
      <c r="AE628" s="3066" t="s">
        <v>3560</v>
      </c>
      <c r="AF628" s="3067">
        <v>712</v>
      </c>
      <c r="AG628" s="3066">
        <v>0</v>
      </c>
      <c r="AH628" s="3066">
        <v>71.2</v>
      </c>
      <c r="AI628" s="3066">
        <v>0</v>
      </c>
      <c r="AJ628" s="3066">
        <v>59.77</v>
      </c>
      <c r="AK628" s="3066">
        <v>0</v>
      </c>
      <c r="AL628" s="3066">
        <v>842.97</v>
      </c>
      <c r="AM628" s="3066">
        <v>0</v>
      </c>
      <c r="AN628" s="3066" t="s">
        <v>3560</v>
      </c>
      <c r="AP628" s="3068">
        <f t="shared" si="9"/>
        <v>20</v>
      </c>
    </row>
    <row r="629" spans="2:42" ht="27" customHeight="1">
      <c r="B629" s="3066">
        <v>637</v>
      </c>
      <c r="C629" s="3066" t="s">
        <v>5490</v>
      </c>
      <c r="D629" s="3066" t="s">
        <v>4053</v>
      </c>
      <c r="E629" s="3066" t="s">
        <v>5558</v>
      </c>
      <c r="F629" s="3066" t="s">
        <v>3917</v>
      </c>
      <c r="G629" s="3066" t="s">
        <v>1373</v>
      </c>
      <c r="H629" s="3066" t="s">
        <v>3560</v>
      </c>
      <c r="I629" s="3066" t="s">
        <v>5559</v>
      </c>
      <c r="J629" s="3066" t="s">
        <v>3560</v>
      </c>
      <c r="K629" s="3066" t="s">
        <v>3560</v>
      </c>
      <c r="L629" s="3066" t="s">
        <v>5560</v>
      </c>
      <c r="M629" s="3066" t="s">
        <v>5561</v>
      </c>
      <c r="N629" s="3066">
        <v>35.6</v>
      </c>
      <c r="O629" s="3066" t="s">
        <v>3931</v>
      </c>
      <c r="P629" s="3066" t="s">
        <v>3566</v>
      </c>
      <c r="Q629" s="3066">
        <v>1</v>
      </c>
      <c r="R629" s="3066">
        <v>3966</v>
      </c>
      <c r="S629" s="3066" t="s">
        <v>3567</v>
      </c>
      <c r="T629" s="3066">
        <v>20</v>
      </c>
      <c r="U629" s="3066">
        <v>712</v>
      </c>
      <c r="V629" s="3066" t="s">
        <v>3560</v>
      </c>
      <c r="W629" s="3066" t="s">
        <v>3568</v>
      </c>
      <c r="X629" s="3066">
        <v>2.2799999999999998</v>
      </c>
      <c r="Y629" s="3066">
        <v>974.4</v>
      </c>
      <c r="Z629" s="3066" t="s">
        <v>3568</v>
      </c>
      <c r="AA629" s="3066" t="s">
        <v>3560</v>
      </c>
      <c r="AB629" s="3066" t="s">
        <v>3932</v>
      </c>
      <c r="AC629" s="3066" t="s">
        <v>3932</v>
      </c>
      <c r="AD629" s="3066" t="s">
        <v>3932</v>
      </c>
      <c r="AE629" s="3066" t="s">
        <v>3560</v>
      </c>
      <c r="AF629" s="3067">
        <v>712</v>
      </c>
      <c r="AG629" s="3066">
        <v>712</v>
      </c>
      <c r="AH629" s="3066">
        <v>81.2</v>
      </c>
      <c r="AI629" s="3066">
        <v>81.2</v>
      </c>
      <c r="AJ629" s="3066">
        <v>24.82</v>
      </c>
      <c r="AK629" s="3066">
        <v>24.82</v>
      </c>
      <c r="AL629" s="3066">
        <v>818.02</v>
      </c>
      <c r="AM629" s="3066">
        <v>818.02</v>
      </c>
      <c r="AN629" s="3066" t="s">
        <v>3560</v>
      </c>
      <c r="AP629" s="3068">
        <f t="shared" si="9"/>
        <v>20</v>
      </c>
    </row>
    <row r="630" spans="2:42" ht="27" customHeight="1">
      <c r="B630" s="3066">
        <v>638</v>
      </c>
      <c r="C630" s="3066" t="s">
        <v>5490</v>
      </c>
      <c r="D630" s="3066" t="s">
        <v>4053</v>
      </c>
      <c r="E630" s="3066" t="s">
        <v>5562</v>
      </c>
      <c r="F630" s="3066" t="s">
        <v>3917</v>
      </c>
      <c r="G630" s="3066" t="s">
        <v>1373</v>
      </c>
      <c r="H630" s="3066" t="s">
        <v>3560</v>
      </c>
      <c r="I630" s="3066" t="s">
        <v>5563</v>
      </c>
      <c r="J630" s="3066" t="s">
        <v>3560</v>
      </c>
      <c r="K630" s="3066" t="s">
        <v>3560</v>
      </c>
      <c r="L630" s="3066" t="s">
        <v>5564</v>
      </c>
      <c r="M630" s="3066" t="s">
        <v>5565</v>
      </c>
      <c r="N630" s="3066">
        <v>35.6</v>
      </c>
      <c r="O630" s="3066" t="s">
        <v>5230</v>
      </c>
      <c r="P630" s="3066" t="s">
        <v>3566</v>
      </c>
      <c r="Q630" s="3066">
        <v>1</v>
      </c>
      <c r="R630" s="3066">
        <v>4144</v>
      </c>
      <c r="S630" s="3066" t="s">
        <v>3567</v>
      </c>
      <c r="T630" s="3066">
        <v>21</v>
      </c>
      <c r="U630" s="3066">
        <v>747.6</v>
      </c>
      <c r="V630" s="3066" t="s">
        <v>3560</v>
      </c>
      <c r="W630" s="3066" t="s">
        <v>3568</v>
      </c>
      <c r="X630" s="3066">
        <v>2.2799999999999998</v>
      </c>
      <c r="Y630" s="3066">
        <v>974.4</v>
      </c>
      <c r="Z630" s="3066" t="s">
        <v>3568</v>
      </c>
      <c r="AA630" s="3066" t="s">
        <v>3560</v>
      </c>
      <c r="AB630" s="3066" t="s">
        <v>4868</v>
      </c>
      <c r="AC630" s="3066" t="s">
        <v>4868</v>
      </c>
      <c r="AD630" s="3066" t="s">
        <v>4868</v>
      </c>
      <c r="AE630" s="3066" t="s">
        <v>3560</v>
      </c>
      <c r="AF630" s="3067">
        <v>747.6</v>
      </c>
      <c r="AG630" s="3066">
        <v>747.6</v>
      </c>
      <c r="AH630" s="3066">
        <v>81.2</v>
      </c>
      <c r="AI630" s="3066">
        <v>81.2</v>
      </c>
      <c r="AJ630" s="3066">
        <v>221.39</v>
      </c>
      <c r="AK630" s="3066">
        <v>221.39</v>
      </c>
      <c r="AL630" s="3066">
        <v>1050.19</v>
      </c>
      <c r="AM630" s="3066">
        <v>1050.19</v>
      </c>
      <c r="AN630" s="3066" t="s">
        <v>3560</v>
      </c>
      <c r="AP630" s="3068">
        <f t="shared" si="9"/>
        <v>21</v>
      </c>
    </row>
    <row r="631" spans="2:42" ht="27" customHeight="1">
      <c r="B631" s="3066">
        <v>639</v>
      </c>
      <c r="C631" s="3066" t="s">
        <v>5490</v>
      </c>
      <c r="D631" s="3066" t="s">
        <v>4053</v>
      </c>
      <c r="E631" s="3066" t="s">
        <v>5566</v>
      </c>
      <c r="F631" s="3066" t="s">
        <v>3917</v>
      </c>
      <c r="G631" s="3066" t="s">
        <v>1373</v>
      </c>
      <c r="H631" s="3066" t="s">
        <v>3560</v>
      </c>
      <c r="I631" s="3066" t="s">
        <v>5567</v>
      </c>
      <c r="J631" s="3066" t="s">
        <v>3788</v>
      </c>
      <c r="K631" s="3066" t="s">
        <v>3560</v>
      </c>
      <c r="L631" s="3066" t="s">
        <v>3789</v>
      </c>
      <c r="M631" s="3066" t="s">
        <v>5568</v>
      </c>
      <c r="N631" s="3066">
        <v>35.6</v>
      </c>
      <c r="O631" s="3066" t="s">
        <v>3619</v>
      </c>
      <c r="P631" s="3066" t="s">
        <v>3566</v>
      </c>
      <c r="Q631" s="3066">
        <v>1</v>
      </c>
      <c r="R631" s="3066">
        <v>2349.6</v>
      </c>
      <c r="S631" s="3066" t="s">
        <v>3567</v>
      </c>
      <c r="T631" s="3066">
        <v>20</v>
      </c>
      <c r="U631" s="3066">
        <v>712</v>
      </c>
      <c r="V631" s="3066" t="s">
        <v>3560</v>
      </c>
      <c r="W631" s="3066" t="s">
        <v>3568</v>
      </c>
      <c r="X631" s="3066">
        <v>2</v>
      </c>
      <c r="Y631" s="3066">
        <v>854.4</v>
      </c>
      <c r="Z631" s="3066" t="s">
        <v>3568</v>
      </c>
      <c r="AA631" s="3066" t="s">
        <v>3560</v>
      </c>
      <c r="AB631" s="3066" t="s">
        <v>3584</v>
      </c>
      <c r="AC631" s="3066" t="s">
        <v>3584</v>
      </c>
      <c r="AD631" s="3066" t="s">
        <v>3584</v>
      </c>
      <c r="AE631" s="3066" t="s">
        <v>3560</v>
      </c>
      <c r="AF631" s="3067">
        <v>712</v>
      </c>
      <c r="AG631" s="3066">
        <v>0</v>
      </c>
      <c r="AH631" s="3066">
        <v>71.2</v>
      </c>
      <c r="AI631" s="3066">
        <v>0</v>
      </c>
      <c r="AJ631" s="3066">
        <v>116.92</v>
      </c>
      <c r="AK631" s="3066">
        <v>0</v>
      </c>
      <c r="AL631" s="3066">
        <v>900.12</v>
      </c>
      <c r="AM631" s="3066">
        <v>0</v>
      </c>
      <c r="AN631" s="3066" t="s">
        <v>3560</v>
      </c>
      <c r="AP631" s="3068">
        <f t="shared" si="9"/>
        <v>20</v>
      </c>
    </row>
    <row r="632" spans="2:42" ht="27" customHeight="1">
      <c r="B632" s="3066">
        <v>640</v>
      </c>
      <c r="C632" s="3066" t="s">
        <v>5490</v>
      </c>
      <c r="D632" s="3066" t="s">
        <v>4053</v>
      </c>
      <c r="E632" s="3066" t="s">
        <v>5569</v>
      </c>
      <c r="F632" s="3066" t="s">
        <v>3917</v>
      </c>
      <c r="G632" s="3066" t="s">
        <v>3560</v>
      </c>
      <c r="H632" s="3066" t="s">
        <v>3560</v>
      </c>
      <c r="I632" s="3066" t="s">
        <v>5570</v>
      </c>
      <c r="J632" s="3066" t="s">
        <v>5570</v>
      </c>
      <c r="K632" s="3066" t="s">
        <v>3560</v>
      </c>
      <c r="L632" s="3066" t="s">
        <v>5571</v>
      </c>
      <c r="M632" s="3066" t="s">
        <v>5572</v>
      </c>
      <c r="N632" s="3066">
        <v>39.700000000000003</v>
      </c>
      <c r="O632" s="3066" t="s">
        <v>3919</v>
      </c>
      <c r="P632" s="3066" t="s">
        <v>3566</v>
      </c>
      <c r="Q632" s="3066">
        <v>1</v>
      </c>
      <c r="R632" s="3066">
        <v>2650</v>
      </c>
      <c r="S632" s="3066" t="s">
        <v>3567</v>
      </c>
      <c r="T632" s="3066">
        <v>20</v>
      </c>
      <c r="U632" s="3066">
        <v>794</v>
      </c>
      <c r="V632" s="3066" t="s">
        <v>3560</v>
      </c>
      <c r="W632" s="3066" t="s">
        <v>3568</v>
      </c>
      <c r="X632" s="3066">
        <v>2.25</v>
      </c>
      <c r="Y632" s="3066">
        <v>1072.8</v>
      </c>
      <c r="Z632" s="3066" t="s">
        <v>3568</v>
      </c>
      <c r="AA632" s="3066" t="s">
        <v>3560</v>
      </c>
      <c r="AB632" s="3066" t="s">
        <v>3920</v>
      </c>
      <c r="AC632" s="3066" t="s">
        <v>3920</v>
      </c>
      <c r="AD632" s="3066" t="s">
        <v>3920</v>
      </c>
      <c r="AE632" s="3066" t="s">
        <v>3560</v>
      </c>
      <c r="AF632" s="3067">
        <v>794</v>
      </c>
      <c r="AG632" s="3066">
        <v>0</v>
      </c>
      <c r="AH632" s="3066">
        <v>89.4</v>
      </c>
      <c r="AI632" s="3066">
        <v>0</v>
      </c>
      <c r="AJ632" s="3066">
        <v>0</v>
      </c>
      <c r="AK632" s="3066">
        <v>0</v>
      </c>
      <c r="AL632" s="3066">
        <v>883.4</v>
      </c>
      <c r="AM632" s="3066">
        <v>0</v>
      </c>
      <c r="AN632" s="3066" t="s">
        <v>3560</v>
      </c>
      <c r="AP632" s="3068">
        <f t="shared" si="9"/>
        <v>20</v>
      </c>
    </row>
    <row r="633" spans="2:42" ht="27" customHeight="1">
      <c r="B633" s="3066">
        <v>641</v>
      </c>
      <c r="C633" s="3066" t="s">
        <v>5490</v>
      </c>
      <c r="D633" s="3066" t="s">
        <v>3915</v>
      </c>
      <c r="E633" s="3066" t="s">
        <v>5573</v>
      </c>
      <c r="F633" s="3066" t="s">
        <v>3917</v>
      </c>
      <c r="G633" s="3066" t="s">
        <v>1373</v>
      </c>
      <c r="H633" s="3066" t="s">
        <v>3560</v>
      </c>
      <c r="I633" s="3066" t="s">
        <v>5574</v>
      </c>
      <c r="J633" s="3066" t="s">
        <v>5575</v>
      </c>
      <c r="K633" s="3066" t="s">
        <v>3560</v>
      </c>
      <c r="L633" s="3066" t="s">
        <v>5576</v>
      </c>
      <c r="M633" s="3066" t="s">
        <v>5577</v>
      </c>
      <c r="N633" s="3066">
        <v>35.6</v>
      </c>
      <c r="O633" s="3066" t="s">
        <v>3619</v>
      </c>
      <c r="P633" s="3066" t="s">
        <v>3566</v>
      </c>
      <c r="Q633" s="3066">
        <v>1</v>
      </c>
      <c r="R633" s="3066">
        <v>896.2</v>
      </c>
      <c r="S633" s="3066" t="s">
        <v>3567</v>
      </c>
      <c r="T633" s="3066">
        <v>20</v>
      </c>
      <c r="U633" s="3066">
        <v>712</v>
      </c>
      <c r="V633" s="3066" t="s">
        <v>3560</v>
      </c>
      <c r="W633" s="3066" t="s">
        <v>3568</v>
      </c>
      <c r="X633" s="3066">
        <v>2</v>
      </c>
      <c r="Y633" s="3066">
        <v>854.4</v>
      </c>
      <c r="Z633" s="3066" t="s">
        <v>3568</v>
      </c>
      <c r="AA633" s="3066" t="s">
        <v>3560</v>
      </c>
      <c r="AB633" s="3066" t="s">
        <v>3584</v>
      </c>
      <c r="AC633" s="3066" t="s">
        <v>3584</v>
      </c>
      <c r="AD633" s="3066" t="s">
        <v>3584</v>
      </c>
      <c r="AE633" s="3066" t="s">
        <v>3560</v>
      </c>
      <c r="AF633" s="3067">
        <v>712</v>
      </c>
      <c r="AG633" s="3066">
        <v>0</v>
      </c>
      <c r="AH633" s="3066">
        <v>71.2</v>
      </c>
      <c r="AI633" s="3066">
        <v>0</v>
      </c>
      <c r="AJ633" s="3066">
        <v>56.68</v>
      </c>
      <c r="AK633" s="3066">
        <v>0</v>
      </c>
      <c r="AL633" s="3066">
        <v>839.88</v>
      </c>
      <c r="AM633" s="3066">
        <v>0</v>
      </c>
      <c r="AN633" s="3066" t="s">
        <v>3560</v>
      </c>
      <c r="AP633" s="3068">
        <f t="shared" si="9"/>
        <v>20</v>
      </c>
    </row>
    <row r="634" spans="2:42" ht="27" customHeight="1">
      <c r="B634" s="3066">
        <v>642</v>
      </c>
      <c r="C634" s="3066" t="s">
        <v>5490</v>
      </c>
      <c r="D634" s="3066" t="s">
        <v>3915</v>
      </c>
      <c r="E634" s="3066" t="s">
        <v>5578</v>
      </c>
      <c r="F634" s="3066" t="s">
        <v>3917</v>
      </c>
      <c r="G634" s="3066" t="s">
        <v>1373</v>
      </c>
      <c r="H634" s="3066" t="s">
        <v>3560</v>
      </c>
      <c r="I634" s="3066" t="s">
        <v>5579</v>
      </c>
      <c r="J634" s="3066" t="s">
        <v>3560</v>
      </c>
      <c r="K634" s="3066" t="s">
        <v>3560</v>
      </c>
      <c r="L634" s="3066" t="s">
        <v>5580</v>
      </c>
      <c r="M634" s="3066" t="s">
        <v>5581</v>
      </c>
      <c r="N634" s="3066">
        <v>35.6</v>
      </c>
      <c r="O634" s="3066" t="s">
        <v>3619</v>
      </c>
      <c r="P634" s="3066" t="s">
        <v>3566</v>
      </c>
      <c r="Q634" s="3066">
        <v>1</v>
      </c>
      <c r="R634" s="3066">
        <v>3966</v>
      </c>
      <c r="S634" s="3066" t="s">
        <v>3567</v>
      </c>
      <c r="T634" s="3066">
        <v>20</v>
      </c>
      <c r="U634" s="3066">
        <v>712</v>
      </c>
      <c r="V634" s="3066" t="s">
        <v>3560</v>
      </c>
      <c r="W634" s="3066" t="s">
        <v>3568</v>
      </c>
      <c r="X634" s="3066">
        <v>2.2799999999999998</v>
      </c>
      <c r="Y634" s="3066">
        <v>974.4</v>
      </c>
      <c r="Z634" s="3066" t="s">
        <v>3568</v>
      </c>
      <c r="AA634" s="3066" t="s">
        <v>3560</v>
      </c>
      <c r="AB634" s="3066" t="s">
        <v>3584</v>
      </c>
      <c r="AC634" s="3066" t="s">
        <v>3584</v>
      </c>
      <c r="AD634" s="3066" t="s">
        <v>3584</v>
      </c>
      <c r="AE634" s="3066" t="s">
        <v>3560</v>
      </c>
      <c r="AF634" s="3067">
        <v>0</v>
      </c>
      <c r="AG634" s="3066">
        <v>0</v>
      </c>
      <c r="AH634" s="3066">
        <v>0</v>
      </c>
      <c r="AI634" s="3066">
        <v>0</v>
      </c>
      <c r="AJ634" s="3066">
        <v>199.32</v>
      </c>
      <c r="AK634" s="3066">
        <v>0</v>
      </c>
      <c r="AL634" s="3066">
        <v>199.32</v>
      </c>
      <c r="AM634" s="3066">
        <v>0</v>
      </c>
      <c r="AN634" s="3066" t="s">
        <v>3560</v>
      </c>
      <c r="AP634" s="3068">
        <f t="shared" si="9"/>
        <v>0</v>
      </c>
    </row>
    <row r="635" spans="2:42" ht="27" customHeight="1">
      <c r="B635" s="3066">
        <v>643</v>
      </c>
      <c r="C635" s="3066" t="s">
        <v>5490</v>
      </c>
      <c r="D635" s="3066" t="s">
        <v>3915</v>
      </c>
      <c r="E635" s="3066" t="s">
        <v>5582</v>
      </c>
      <c r="F635" s="3066" t="s">
        <v>3917</v>
      </c>
      <c r="G635" s="3066" t="s">
        <v>1373</v>
      </c>
      <c r="H635" s="3066" t="s">
        <v>3560</v>
      </c>
      <c r="I635" s="3066" t="s">
        <v>5583</v>
      </c>
      <c r="J635" s="3066" t="s">
        <v>3560</v>
      </c>
      <c r="K635" s="3066" t="s">
        <v>3560</v>
      </c>
      <c r="L635" s="3066" t="s">
        <v>5584</v>
      </c>
      <c r="M635" s="3066" t="s">
        <v>5585</v>
      </c>
      <c r="N635" s="3066">
        <v>35.6</v>
      </c>
      <c r="O635" s="3066" t="s">
        <v>3950</v>
      </c>
      <c r="P635" s="3066" t="s">
        <v>3566</v>
      </c>
      <c r="Q635" s="3066">
        <v>1</v>
      </c>
      <c r="R635" s="3066">
        <v>4144</v>
      </c>
      <c r="S635" s="3066" t="s">
        <v>3567</v>
      </c>
      <c r="T635" s="3066">
        <v>21</v>
      </c>
      <c r="U635" s="3066">
        <v>747.6</v>
      </c>
      <c r="V635" s="3066" t="s">
        <v>3560</v>
      </c>
      <c r="W635" s="3066" t="s">
        <v>3568</v>
      </c>
      <c r="X635" s="3066">
        <v>2.2799999999999998</v>
      </c>
      <c r="Y635" s="3066">
        <v>974.4</v>
      </c>
      <c r="Z635" s="3066" t="s">
        <v>3568</v>
      </c>
      <c r="AA635" s="3066" t="s">
        <v>3560</v>
      </c>
      <c r="AB635" s="3066" t="s">
        <v>3951</v>
      </c>
      <c r="AC635" s="3066" t="s">
        <v>3951</v>
      </c>
      <c r="AD635" s="3066" t="s">
        <v>3951</v>
      </c>
      <c r="AE635" s="3066" t="s">
        <v>3560</v>
      </c>
      <c r="AF635" s="3067">
        <v>747.6</v>
      </c>
      <c r="AG635" s="3066">
        <v>747.6</v>
      </c>
      <c r="AH635" s="3066">
        <v>81.2</v>
      </c>
      <c r="AI635" s="3066">
        <v>81.2</v>
      </c>
      <c r="AJ635" s="3066">
        <v>133</v>
      </c>
      <c r="AK635" s="3066">
        <v>133</v>
      </c>
      <c r="AL635" s="3066">
        <v>961.8</v>
      </c>
      <c r="AM635" s="3066">
        <v>961.8</v>
      </c>
      <c r="AN635" s="3066" t="s">
        <v>3560</v>
      </c>
      <c r="AP635" s="3068">
        <f t="shared" si="9"/>
        <v>21</v>
      </c>
    </row>
    <row r="636" spans="2:42" ht="27" customHeight="1">
      <c r="B636" s="3066">
        <v>644</v>
      </c>
      <c r="C636" s="3066" t="s">
        <v>5490</v>
      </c>
      <c r="D636" s="3066" t="s">
        <v>3915</v>
      </c>
      <c r="E636" s="3066" t="s">
        <v>5586</v>
      </c>
      <c r="F636" s="3066" t="s">
        <v>3917</v>
      </c>
      <c r="G636" s="3066" t="s">
        <v>1373</v>
      </c>
      <c r="H636" s="3066" t="s">
        <v>3560</v>
      </c>
      <c r="I636" s="3066" t="s">
        <v>5587</v>
      </c>
      <c r="J636" s="3066" t="s">
        <v>3560</v>
      </c>
      <c r="K636" s="3066" t="s">
        <v>3560</v>
      </c>
      <c r="L636" s="3066" t="s">
        <v>5588</v>
      </c>
      <c r="M636" s="3066" t="s">
        <v>5589</v>
      </c>
      <c r="N636" s="3066">
        <v>35.6</v>
      </c>
      <c r="O636" s="3066" t="s">
        <v>3619</v>
      </c>
      <c r="P636" s="3066" t="s">
        <v>3566</v>
      </c>
      <c r="Q636" s="3066">
        <v>1</v>
      </c>
      <c r="R636" s="3066">
        <v>3966</v>
      </c>
      <c r="S636" s="3066" t="s">
        <v>3567</v>
      </c>
      <c r="T636" s="3066">
        <v>20</v>
      </c>
      <c r="U636" s="3066">
        <v>712</v>
      </c>
      <c r="V636" s="3066" t="s">
        <v>3560</v>
      </c>
      <c r="W636" s="3066" t="s">
        <v>3568</v>
      </c>
      <c r="X636" s="3066">
        <v>2.2799999999999998</v>
      </c>
      <c r="Y636" s="3066">
        <v>974.4</v>
      </c>
      <c r="Z636" s="3066" t="s">
        <v>3568</v>
      </c>
      <c r="AA636" s="3066" t="s">
        <v>3560</v>
      </c>
      <c r="AB636" s="3066" t="s">
        <v>3584</v>
      </c>
      <c r="AC636" s="3066" t="s">
        <v>3584</v>
      </c>
      <c r="AD636" s="3066" t="s">
        <v>3584</v>
      </c>
      <c r="AE636" s="3066" t="s">
        <v>3560</v>
      </c>
      <c r="AF636" s="3067">
        <v>0</v>
      </c>
      <c r="AG636" s="3066">
        <v>0</v>
      </c>
      <c r="AH636" s="3066">
        <v>0</v>
      </c>
      <c r="AI636" s="3066">
        <v>0</v>
      </c>
      <c r="AJ636" s="3066">
        <v>40.119999999999997</v>
      </c>
      <c r="AK636" s="3066">
        <v>0</v>
      </c>
      <c r="AL636" s="3066">
        <v>40.119999999999997</v>
      </c>
      <c r="AM636" s="3066">
        <v>0</v>
      </c>
      <c r="AN636" s="3066" t="s">
        <v>3560</v>
      </c>
      <c r="AP636" s="3068">
        <f t="shared" si="9"/>
        <v>0</v>
      </c>
    </row>
    <row r="637" spans="2:42" ht="27" customHeight="1">
      <c r="B637" s="3066">
        <v>645</v>
      </c>
      <c r="C637" s="3066" t="s">
        <v>5490</v>
      </c>
      <c r="D637" s="3066" t="s">
        <v>3915</v>
      </c>
      <c r="E637" s="3066" t="s">
        <v>5590</v>
      </c>
      <c r="F637" s="3066" t="s">
        <v>3917</v>
      </c>
      <c r="G637" s="3066" t="s">
        <v>3560</v>
      </c>
      <c r="H637" s="3066" t="s">
        <v>3560</v>
      </c>
      <c r="I637" s="3066" t="s">
        <v>5591</v>
      </c>
      <c r="J637" s="3066" t="s">
        <v>5591</v>
      </c>
      <c r="K637" s="3066" t="s">
        <v>3560</v>
      </c>
      <c r="L637" s="3066" t="s">
        <v>5592</v>
      </c>
      <c r="M637" s="3066" t="s">
        <v>5593</v>
      </c>
      <c r="N637" s="3066">
        <v>35.6</v>
      </c>
      <c r="O637" s="3066" t="s">
        <v>3619</v>
      </c>
      <c r="P637" s="3066" t="s">
        <v>3566</v>
      </c>
      <c r="Q637" s="3066">
        <v>1</v>
      </c>
      <c r="R637" s="3066">
        <v>2380</v>
      </c>
      <c r="S637" s="3066" t="s">
        <v>3567</v>
      </c>
      <c r="T637" s="3066">
        <v>20</v>
      </c>
      <c r="U637" s="3066">
        <v>712</v>
      </c>
      <c r="V637" s="3066" t="s">
        <v>3560</v>
      </c>
      <c r="W637" s="3066" t="s">
        <v>3568</v>
      </c>
      <c r="X637" s="3066">
        <v>2.2799999999999998</v>
      </c>
      <c r="Y637" s="3066">
        <v>974.4</v>
      </c>
      <c r="Z637" s="3066" t="s">
        <v>3568</v>
      </c>
      <c r="AA637" s="3066" t="s">
        <v>3560</v>
      </c>
      <c r="AB637" s="3066" t="s">
        <v>3584</v>
      </c>
      <c r="AC637" s="3066" t="s">
        <v>3584</v>
      </c>
      <c r="AD637" s="3066" t="s">
        <v>3584</v>
      </c>
      <c r="AE637" s="3066" t="s">
        <v>3560</v>
      </c>
      <c r="AF637" s="3067">
        <v>712</v>
      </c>
      <c r="AG637" s="3066">
        <v>712</v>
      </c>
      <c r="AH637" s="3066">
        <v>81.2</v>
      </c>
      <c r="AI637" s="3066">
        <v>81.2</v>
      </c>
      <c r="AJ637" s="3066">
        <v>84.3</v>
      </c>
      <c r="AK637" s="3066">
        <v>84.3</v>
      </c>
      <c r="AL637" s="3066">
        <v>877.5</v>
      </c>
      <c r="AM637" s="3066">
        <v>877.5</v>
      </c>
      <c r="AN637" s="3066" t="s">
        <v>3560</v>
      </c>
      <c r="AP637" s="3068">
        <f t="shared" si="9"/>
        <v>20</v>
      </c>
    </row>
    <row r="638" spans="2:42" ht="27" customHeight="1">
      <c r="B638" s="3066">
        <v>646</v>
      </c>
      <c r="C638" s="3066" t="s">
        <v>5490</v>
      </c>
      <c r="D638" s="3066" t="s">
        <v>3915</v>
      </c>
      <c r="E638" s="3066" t="s">
        <v>5594</v>
      </c>
      <c r="F638" s="3066" t="s">
        <v>3917</v>
      </c>
      <c r="G638" s="3066" t="s">
        <v>1373</v>
      </c>
      <c r="H638" s="3066" t="s">
        <v>3560</v>
      </c>
      <c r="I638" s="3066" t="s">
        <v>5595</v>
      </c>
      <c r="J638" s="3066" t="s">
        <v>3560</v>
      </c>
      <c r="K638" s="3066" t="s">
        <v>3560</v>
      </c>
      <c r="L638" s="3066" t="s">
        <v>5596</v>
      </c>
      <c r="M638" s="3066" t="s">
        <v>5597</v>
      </c>
      <c r="N638" s="3066">
        <v>35.6</v>
      </c>
      <c r="O638" s="3066" t="s">
        <v>3950</v>
      </c>
      <c r="P638" s="3066" t="s">
        <v>3566</v>
      </c>
      <c r="Q638" s="3066">
        <v>1</v>
      </c>
      <c r="R638" s="3066">
        <v>2486</v>
      </c>
      <c r="S638" s="3066" t="s">
        <v>3567</v>
      </c>
      <c r="T638" s="3066">
        <v>21</v>
      </c>
      <c r="U638" s="3066">
        <v>747.6</v>
      </c>
      <c r="V638" s="3066" t="s">
        <v>3560</v>
      </c>
      <c r="W638" s="3066" t="s">
        <v>3568</v>
      </c>
      <c r="X638" s="3066">
        <v>2.2799999999999998</v>
      </c>
      <c r="Y638" s="3066">
        <v>974.4</v>
      </c>
      <c r="Z638" s="3066" t="s">
        <v>3568</v>
      </c>
      <c r="AA638" s="3066" t="s">
        <v>3560</v>
      </c>
      <c r="AB638" s="3066" t="s">
        <v>3951</v>
      </c>
      <c r="AC638" s="3066" t="s">
        <v>3951</v>
      </c>
      <c r="AD638" s="3066" t="s">
        <v>3951</v>
      </c>
      <c r="AE638" s="3066" t="s">
        <v>3560</v>
      </c>
      <c r="AF638" s="3067">
        <v>747.6</v>
      </c>
      <c r="AG638" s="3066">
        <v>747.6</v>
      </c>
      <c r="AH638" s="3066">
        <v>81.2</v>
      </c>
      <c r="AI638" s="3066">
        <v>81.2</v>
      </c>
      <c r="AJ638" s="3066">
        <v>98.08</v>
      </c>
      <c r="AK638" s="3066">
        <v>98.08</v>
      </c>
      <c r="AL638" s="3066">
        <v>926.88</v>
      </c>
      <c r="AM638" s="3066">
        <v>926.88</v>
      </c>
      <c r="AN638" s="3066" t="s">
        <v>3560</v>
      </c>
      <c r="AP638" s="3068">
        <f t="shared" si="9"/>
        <v>21</v>
      </c>
    </row>
    <row r="639" spans="2:42" ht="27" customHeight="1">
      <c r="B639" s="3066">
        <v>647</v>
      </c>
      <c r="C639" s="3066" t="s">
        <v>5490</v>
      </c>
      <c r="D639" s="3066" t="s">
        <v>3915</v>
      </c>
      <c r="E639" s="3066" t="s">
        <v>5598</v>
      </c>
      <c r="F639" s="3066" t="s">
        <v>3917</v>
      </c>
      <c r="G639" s="3066" t="s">
        <v>3560</v>
      </c>
      <c r="H639" s="3066" t="s">
        <v>3560</v>
      </c>
      <c r="I639" s="3066" t="s">
        <v>5599</v>
      </c>
      <c r="J639" s="3066" t="s">
        <v>5599</v>
      </c>
      <c r="K639" s="3066" t="s">
        <v>3560</v>
      </c>
      <c r="L639" s="3066" t="s">
        <v>5600</v>
      </c>
      <c r="M639" s="3066" t="s">
        <v>5601</v>
      </c>
      <c r="N639" s="3066">
        <v>35.6</v>
      </c>
      <c r="O639" s="3066" t="s">
        <v>4969</v>
      </c>
      <c r="P639" s="3066" t="s">
        <v>3566</v>
      </c>
      <c r="Q639" s="3066">
        <v>0</v>
      </c>
      <c r="R639" s="3066">
        <v>2380</v>
      </c>
      <c r="S639" s="3066" t="s">
        <v>3567</v>
      </c>
      <c r="T639" s="3066">
        <v>20</v>
      </c>
      <c r="U639" s="3066">
        <v>712</v>
      </c>
      <c r="V639" s="3066" t="s">
        <v>3560</v>
      </c>
      <c r="W639" s="3066" t="s">
        <v>3568</v>
      </c>
      <c r="X639" s="3066">
        <v>2.2799999999999998</v>
      </c>
      <c r="Y639" s="3066">
        <v>974.4</v>
      </c>
      <c r="Z639" s="3066" t="s">
        <v>3568</v>
      </c>
      <c r="AA639" s="3066" t="s">
        <v>3560</v>
      </c>
      <c r="AB639" s="3066" t="s">
        <v>3584</v>
      </c>
      <c r="AC639" s="3066" t="s">
        <v>3584</v>
      </c>
      <c r="AD639" s="3066" t="s">
        <v>3584</v>
      </c>
      <c r="AE639" s="3066" t="s">
        <v>3560</v>
      </c>
      <c r="AF639" s="3067">
        <v>712</v>
      </c>
      <c r="AG639" s="3066">
        <v>712</v>
      </c>
      <c r="AH639" s="3066">
        <v>81.2</v>
      </c>
      <c r="AI639" s="3066">
        <v>81.2</v>
      </c>
      <c r="AJ639" s="3066">
        <v>84.3</v>
      </c>
      <c r="AK639" s="3066">
        <v>84.3</v>
      </c>
      <c r="AL639" s="3066">
        <v>877.5</v>
      </c>
      <c r="AM639" s="3066">
        <v>877.5</v>
      </c>
      <c r="AN639" s="3066" t="s">
        <v>3560</v>
      </c>
      <c r="AP639" s="3068">
        <f t="shared" si="9"/>
        <v>20</v>
      </c>
    </row>
    <row r="640" spans="2:42" ht="27" customHeight="1">
      <c r="B640" s="3066">
        <v>648</v>
      </c>
      <c r="C640" s="3066" t="s">
        <v>5490</v>
      </c>
      <c r="D640" s="3066" t="s">
        <v>3915</v>
      </c>
      <c r="E640" s="3066" t="s">
        <v>5602</v>
      </c>
      <c r="F640" s="3066" t="s">
        <v>3917</v>
      </c>
      <c r="G640" s="3066" t="s">
        <v>4312</v>
      </c>
      <c r="H640" s="3066" t="s">
        <v>3560</v>
      </c>
      <c r="I640" s="3066" t="s">
        <v>5603</v>
      </c>
      <c r="J640" s="3066" t="s">
        <v>5603</v>
      </c>
      <c r="K640" s="3066" t="s">
        <v>3560</v>
      </c>
      <c r="L640" s="3066" t="s">
        <v>5604</v>
      </c>
      <c r="M640" s="3066" t="s">
        <v>5605</v>
      </c>
      <c r="N640" s="3066">
        <v>35.6</v>
      </c>
      <c r="O640" s="3066" t="s">
        <v>3560</v>
      </c>
      <c r="P640" s="3066" t="s">
        <v>3560</v>
      </c>
      <c r="Q640" s="3066">
        <v>0</v>
      </c>
      <c r="R640" s="3066">
        <v>4144</v>
      </c>
      <c r="S640" s="3066" t="s">
        <v>3567</v>
      </c>
      <c r="T640" s="3066">
        <v>21</v>
      </c>
      <c r="U640" s="3066">
        <v>747.6</v>
      </c>
      <c r="V640" s="3066" t="s">
        <v>3560</v>
      </c>
      <c r="W640" s="3066" t="s">
        <v>3568</v>
      </c>
      <c r="X640" s="3066">
        <v>2.2799999999999998</v>
      </c>
      <c r="Y640" s="3066">
        <v>974.4</v>
      </c>
      <c r="Z640" s="3066" t="s">
        <v>3568</v>
      </c>
      <c r="AA640" s="3066" t="s">
        <v>3560</v>
      </c>
      <c r="AB640" s="3066" t="s">
        <v>3560</v>
      </c>
      <c r="AC640" s="3066" t="s">
        <v>3560</v>
      </c>
      <c r="AD640" s="3066" t="s">
        <v>3560</v>
      </c>
      <c r="AE640" s="3066" t="s">
        <v>3560</v>
      </c>
      <c r="AF640" s="3067">
        <v>747.6</v>
      </c>
      <c r="AG640" s="3066">
        <v>747.6</v>
      </c>
      <c r="AH640" s="3066">
        <v>81.2</v>
      </c>
      <c r="AI640" s="3066">
        <v>81.2</v>
      </c>
      <c r="AJ640" s="3066">
        <v>114.65</v>
      </c>
      <c r="AK640" s="3066">
        <v>114.65</v>
      </c>
      <c r="AL640" s="3066">
        <v>943.45</v>
      </c>
      <c r="AM640" s="3066">
        <v>943.45</v>
      </c>
      <c r="AN640" s="3066" t="s">
        <v>3560</v>
      </c>
      <c r="AP640" s="3068">
        <f t="shared" si="9"/>
        <v>21</v>
      </c>
    </row>
    <row r="641" spans="2:42" ht="27" customHeight="1">
      <c r="B641" s="3066">
        <v>649</v>
      </c>
      <c r="C641" s="3066" t="s">
        <v>5490</v>
      </c>
      <c r="D641" s="3066" t="s">
        <v>3915</v>
      </c>
      <c r="E641" s="3066" t="s">
        <v>5606</v>
      </c>
      <c r="F641" s="3066" t="s">
        <v>3917</v>
      </c>
      <c r="G641" s="3066" t="s">
        <v>3560</v>
      </c>
      <c r="H641" s="3066" t="s">
        <v>3560</v>
      </c>
      <c r="I641" s="3066" t="s">
        <v>5607</v>
      </c>
      <c r="J641" s="3066" t="s">
        <v>5607</v>
      </c>
      <c r="K641" s="3066" t="s">
        <v>3560</v>
      </c>
      <c r="L641" s="3066" t="s">
        <v>5608</v>
      </c>
      <c r="M641" s="3066" t="s">
        <v>5609</v>
      </c>
      <c r="N641" s="3066">
        <v>35.6</v>
      </c>
      <c r="O641" s="3066" t="s">
        <v>3950</v>
      </c>
      <c r="P641" s="3066" t="s">
        <v>3566</v>
      </c>
      <c r="Q641" s="3066">
        <v>1</v>
      </c>
      <c r="R641" s="3066">
        <v>4144</v>
      </c>
      <c r="S641" s="3066" t="s">
        <v>3567</v>
      </c>
      <c r="T641" s="3066">
        <v>21</v>
      </c>
      <c r="U641" s="3066">
        <v>747.6</v>
      </c>
      <c r="V641" s="3066" t="s">
        <v>3560</v>
      </c>
      <c r="W641" s="3066" t="s">
        <v>3568</v>
      </c>
      <c r="X641" s="3066">
        <v>2.2799999999999998</v>
      </c>
      <c r="Y641" s="3066">
        <v>974.4</v>
      </c>
      <c r="Z641" s="3066" t="s">
        <v>3568</v>
      </c>
      <c r="AA641" s="3066" t="s">
        <v>3560</v>
      </c>
      <c r="AB641" s="3066" t="s">
        <v>3951</v>
      </c>
      <c r="AC641" s="3066" t="s">
        <v>3951</v>
      </c>
      <c r="AD641" s="3066" t="s">
        <v>3951</v>
      </c>
      <c r="AE641" s="3066" t="s">
        <v>3560</v>
      </c>
      <c r="AF641" s="3067">
        <v>747.6</v>
      </c>
      <c r="AG641" s="3066">
        <v>0</v>
      </c>
      <c r="AH641" s="3066">
        <v>81.2</v>
      </c>
      <c r="AI641" s="3066">
        <v>0</v>
      </c>
      <c r="AJ641" s="3066">
        <v>65.27</v>
      </c>
      <c r="AK641" s="3066">
        <v>0</v>
      </c>
      <c r="AL641" s="3066">
        <v>894.07</v>
      </c>
      <c r="AM641" s="3066">
        <v>0</v>
      </c>
      <c r="AN641" s="3066" t="s">
        <v>3560</v>
      </c>
      <c r="AP641" s="3068">
        <f t="shared" si="9"/>
        <v>21</v>
      </c>
    </row>
    <row r="642" spans="2:42" ht="27" customHeight="1">
      <c r="B642" s="3066">
        <v>650</v>
      </c>
      <c r="C642" s="3066" t="s">
        <v>5490</v>
      </c>
      <c r="D642" s="3066" t="s">
        <v>3915</v>
      </c>
      <c r="E642" s="3066" t="s">
        <v>5610</v>
      </c>
      <c r="F642" s="3066" t="s">
        <v>3917</v>
      </c>
      <c r="G642" s="3066" t="s">
        <v>1373</v>
      </c>
      <c r="H642" s="3066" t="s">
        <v>3560</v>
      </c>
      <c r="I642" s="3066" t="s">
        <v>5611</v>
      </c>
      <c r="J642" s="3066" t="s">
        <v>5611</v>
      </c>
      <c r="K642" s="3066" t="s">
        <v>3560</v>
      </c>
      <c r="L642" s="3066" t="s">
        <v>5612</v>
      </c>
      <c r="M642" s="3066" t="s">
        <v>5613</v>
      </c>
      <c r="N642" s="3066">
        <v>35.6</v>
      </c>
      <c r="O642" s="3066" t="s">
        <v>4086</v>
      </c>
      <c r="P642" s="3066" t="s">
        <v>3566</v>
      </c>
      <c r="Q642" s="3066">
        <v>1</v>
      </c>
      <c r="R642" s="3066">
        <v>2136</v>
      </c>
      <c r="S642" s="3066" t="s">
        <v>3567</v>
      </c>
      <c r="T642" s="3066">
        <v>20</v>
      </c>
      <c r="U642" s="3066">
        <v>712</v>
      </c>
      <c r="V642" s="3066" t="s">
        <v>3560</v>
      </c>
      <c r="W642" s="3066" t="s">
        <v>3568</v>
      </c>
      <c r="X642" s="3066">
        <v>2.2799999999999998</v>
      </c>
      <c r="Y642" s="3066">
        <v>974.4</v>
      </c>
      <c r="Z642" s="3066" t="s">
        <v>3568</v>
      </c>
      <c r="AA642" s="3066" t="s">
        <v>3560</v>
      </c>
      <c r="AB642" s="3066" t="s">
        <v>4087</v>
      </c>
      <c r="AC642" s="3066" t="s">
        <v>4087</v>
      </c>
      <c r="AD642" s="3066" t="s">
        <v>4087</v>
      </c>
      <c r="AE642" s="3066" t="s">
        <v>3560</v>
      </c>
      <c r="AF642" s="3067">
        <v>712</v>
      </c>
      <c r="AG642" s="3066">
        <v>712</v>
      </c>
      <c r="AH642" s="3066">
        <v>81.2</v>
      </c>
      <c r="AI642" s="3066">
        <v>81.2</v>
      </c>
      <c r="AJ642" s="3066">
        <v>143.37</v>
      </c>
      <c r="AK642" s="3066">
        <v>143.37</v>
      </c>
      <c r="AL642" s="3066">
        <v>936.57</v>
      </c>
      <c r="AM642" s="3066">
        <v>936.57</v>
      </c>
      <c r="AN642" s="3066" t="s">
        <v>3560</v>
      </c>
      <c r="AP642" s="3068">
        <f t="shared" si="9"/>
        <v>20</v>
      </c>
    </row>
    <row r="643" spans="2:42" ht="27" customHeight="1">
      <c r="B643" s="3066">
        <v>651</v>
      </c>
      <c r="C643" s="3066" t="s">
        <v>5490</v>
      </c>
      <c r="D643" s="3066" t="s">
        <v>3915</v>
      </c>
      <c r="E643" s="3066" t="s">
        <v>5614</v>
      </c>
      <c r="F643" s="3066" t="s">
        <v>3917</v>
      </c>
      <c r="G643" s="3066" t="s">
        <v>1373</v>
      </c>
      <c r="H643" s="3066" t="s">
        <v>3560</v>
      </c>
      <c r="I643" s="3066" t="s">
        <v>5615</v>
      </c>
      <c r="J643" s="3066" t="s">
        <v>3560</v>
      </c>
      <c r="K643" s="3066" t="s">
        <v>3560</v>
      </c>
      <c r="L643" s="3066" t="s">
        <v>5616</v>
      </c>
      <c r="M643" s="3066" t="s">
        <v>5617</v>
      </c>
      <c r="N643" s="3066">
        <v>35.6</v>
      </c>
      <c r="O643" s="3066" t="s">
        <v>3950</v>
      </c>
      <c r="P643" s="3066" t="s">
        <v>3566</v>
      </c>
      <c r="Q643" s="3066">
        <v>1</v>
      </c>
      <c r="R643" s="3066">
        <v>4144</v>
      </c>
      <c r="S643" s="3066" t="s">
        <v>3567</v>
      </c>
      <c r="T643" s="3066">
        <v>21</v>
      </c>
      <c r="U643" s="3066">
        <v>747.6</v>
      </c>
      <c r="V643" s="3066" t="s">
        <v>3560</v>
      </c>
      <c r="W643" s="3066" t="s">
        <v>3568</v>
      </c>
      <c r="X643" s="3066">
        <v>2.2799999999999998</v>
      </c>
      <c r="Y643" s="3066">
        <v>974.4</v>
      </c>
      <c r="Z643" s="3066" t="s">
        <v>3568</v>
      </c>
      <c r="AA643" s="3066" t="s">
        <v>3560</v>
      </c>
      <c r="AB643" s="3066" t="s">
        <v>3951</v>
      </c>
      <c r="AC643" s="3066" t="s">
        <v>3951</v>
      </c>
      <c r="AD643" s="3066" t="s">
        <v>3951</v>
      </c>
      <c r="AE643" s="3066" t="s">
        <v>3560</v>
      </c>
      <c r="AF643" s="3067">
        <v>747.6</v>
      </c>
      <c r="AG643" s="3066">
        <v>0</v>
      </c>
      <c r="AH643" s="3066">
        <v>81.2</v>
      </c>
      <c r="AI643" s="3066">
        <v>0</v>
      </c>
      <c r="AJ643" s="3066">
        <v>83.11</v>
      </c>
      <c r="AK643" s="3066">
        <v>0</v>
      </c>
      <c r="AL643" s="3066">
        <v>911.91</v>
      </c>
      <c r="AM643" s="3066">
        <v>0</v>
      </c>
      <c r="AN643" s="3066" t="s">
        <v>3560</v>
      </c>
      <c r="AP643" s="3068">
        <f t="shared" si="9"/>
        <v>21</v>
      </c>
    </row>
    <row r="644" spans="2:42" ht="27" customHeight="1">
      <c r="B644" s="3066">
        <v>652</v>
      </c>
      <c r="C644" s="3066" t="s">
        <v>5490</v>
      </c>
      <c r="D644" s="3066" t="s">
        <v>3915</v>
      </c>
      <c r="E644" s="3066" t="s">
        <v>5618</v>
      </c>
      <c r="F644" s="3066" t="s">
        <v>3917</v>
      </c>
      <c r="G644" s="3066" t="s">
        <v>1373</v>
      </c>
      <c r="H644" s="3066" t="s">
        <v>3560</v>
      </c>
      <c r="I644" s="3066" t="s">
        <v>4591</v>
      </c>
      <c r="J644" s="3066" t="s">
        <v>3560</v>
      </c>
      <c r="K644" s="3066" t="s">
        <v>3560</v>
      </c>
      <c r="L644" s="3066" t="s">
        <v>4592</v>
      </c>
      <c r="M644" s="3066" t="s">
        <v>5619</v>
      </c>
      <c r="N644" s="3066">
        <v>39.700000000000003</v>
      </c>
      <c r="O644" s="3066" t="s">
        <v>3931</v>
      </c>
      <c r="P644" s="3066" t="s">
        <v>3566</v>
      </c>
      <c r="Q644" s="3066">
        <v>1</v>
      </c>
      <c r="R644" s="3066">
        <v>529</v>
      </c>
      <c r="S644" s="3066" t="s">
        <v>3567</v>
      </c>
      <c r="T644" s="3066">
        <v>20</v>
      </c>
      <c r="U644" s="3066">
        <v>794</v>
      </c>
      <c r="V644" s="3066" t="s">
        <v>3560</v>
      </c>
      <c r="W644" s="3066" t="s">
        <v>3568</v>
      </c>
      <c r="X644" s="3066">
        <v>2.25</v>
      </c>
      <c r="Y644" s="3066">
        <v>1072.8</v>
      </c>
      <c r="Z644" s="3066" t="s">
        <v>3568</v>
      </c>
      <c r="AA644" s="3066" t="s">
        <v>3560</v>
      </c>
      <c r="AB644" s="3066" t="s">
        <v>3932</v>
      </c>
      <c r="AC644" s="3066" t="s">
        <v>3932</v>
      </c>
      <c r="AD644" s="3066" t="s">
        <v>3932</v>
      </c>
      <c r="AE644" s="3066" t="s">
        <v>3560</v>
      </c>
      <c r="AF644" s="3067">
        <v>794</v>
      </c>
      <c r="AG644" s="3066">
        <v>794</v>
      </c>
      <c r="AH644" s="3066">
        <v>89.4</v>
      </c>
      <c r="AI644" s="3066">
        <v>89.4</v>
      </c>
      <c r="AJ644" s="3066">
        <v>52.35</v>
      </c>
      <c r="AK644" s="3066">
        <v>52.35</v>
      </c>
      <c r="AL644" s="3066">
        <v>935.75</v>
      </c>
      <c r="AM644" s="3066">
        <v>935.75</v>
      </c>
      <c r="AN644" s="3066" t="s">
        <v>3560</v>
      </c>
      <c r="AP644" s="3068">
        <f t="shared" ref="AP644:AP707" si="10">AF644/N644</f>
        <v>20</v>
      </c>
    </row>
    <row r="645" spans="2:42" ht="27" customHeight="1">
      <c r="B645" s="3066">
        <v>653</v>
      </c>
      <c r="C645" s="3066" t="s">
        <v>5490</v>
      </c>
      <c r="D645" s="3066" t="s">
        <v>3926</v>
      </c>
      <c r="E645" s="3066" t="s">
        <v>5620</v>
      </c>
      <c r="F645" s="3066" t="s">
        <v>3917</v>
      </c>
      <c r="G645" s="3066" t="s">
        <v>1373</v>
      </c>
      <c r="H645" s="3066" t="s">
        <v>3560</v>
      </c>
      <c r="I645" s="3066" t="s">
        <v>3800</v>
      </c>
      <c r="J645" s="3066" t="s">
        <v>3801</v>
      </c>
      <c r="K645" s="3066" t="s">
        <v>3560</v>
      </c>
      <c r="L645" s="3066" t="s">
        <v>3802</v>
      </c>
      <c r="M645" s="3066" t="s">
        <v>5621</v>
      </c>
      <c r="N645" s="3066">
        <v>35.6</v>
      </c>
      <c r="O645" s="3066" t="s">
        <v>3744</v>
      </c>
      <c r="P645" s="3066" t="s">
        <v>3566</v>
      </c>
      <c r="Q645" s="3066">
        <v>1</v>
      </c>
      <c r="R645" s="3066">
        <v>2196</v>
      </c>
      <c r="S645" s="3066" t="s">
        <v>3567</v>
      </c>
      <c r="T645" s="3066">
        <v>20</v>
      </c>
      <c r="U645" s="3066">
        <v>712</v>
      </c>
      <c r="V645" s="3066" t="s">
        <v>3560</v>
      </c>
      <c r="W645" s="3066" t="s">
        <v>3568</v>
      </c>
      <c r="X645" s="3066">
        <v>2</v>
      </c>
      <c r="Y645" s="3066">
        <v>854.4</v>
      </c>
      <c r="Z645" s="3066" t="s">
        <v>3568</v>
      </c>
      <c r="AA645" s="3066" t="s">
        <v>3560</v>
      </c>
      <c r="AB645" s="3066" t="s">
        <v>3746</v>
      </c>
      <c r="AC645" s="3066" t="s">
        <v>3746</v>
      </c>
      <c r="AD645" s="3066" t="s">
        <v>3746</v>
      </c>
      <c r="AE645" s="3066" t="s">
        <v>3560</v>
      </c>
      <c r="AF645" s="3067">
        <v>712</v>
      </c>
      <c r="AG645" s="3066">
        <v>0</v>
      </c>
      <c r="AH645" s="3066">
        <v>71.2</v>
      </c>
      <c r="AI645" s="3066">
        <v>0</v>
      </c>
      <c r="AJ645" s="3066">
        <v>41.06</v>
      </c>
      <c r="AK645" s="3066">
        <v>0</v>
      </c>
      <c r="AL645" s="3066">
        <v>824.26</v>
      </c>
      <c r="AM645" s="3066">
        <v>0</v>
      </c>
      <c r="AN645" s="3066" t="s">
        <v>3560</v>
      </c>
      <c r="AP645" s="3068">
        <f t="shared" si="10"/>
        <v>20</v>
      </c>
    </row>
    <row r="646" spans="2:42" ht="27" customHeight="1">
      <c r="B646" s="3066">
        <v>654</v>
      </c>
      <c r="C646" s="3066" t="s">
        <v>5490</v>
      </c>
      <c r="D646" s="3066" t="s">
        <v>3926</v>
      </c>
      <c r="E646" s="3066" t="s">
        <v>5622</v>
      </c>
      <c r="F646" s="3066" t="s">
        <v>3917</v>
      </c>
      <c r="G646" s="3066" t="s">
        <v>1373</v>
      </c>
      <c r="H646" s="3066" t="s">
        <v>3560</v>
      </c>
      <c r="I646" s="3066" t="s">
        <v>3800</v>
      </c>
      <c r="J646" s="3066" t="s">
        <v>3801</v>
      </c>
      <c r="K646" s="3066" t="s">
        <v>3560</v>
      </c>
      <c r="L646" s="3066" t="s">
        <v>3802</v>
      </c>
      <c r="M646" s="3066" t="s">
        <v>5623</v>
      </c>
      <c r="N646" s="3066">
        <v>35.6</v>
      </c>
      <c r="O646" s="3066" t="s">
        <v>3744</v>
      </c>
      <c r="P646" s="3066" t="s">
        <v>3566</v>
      </c>
      <c r="Q646" s="3066">
        <v>1</v>
      </c>
      <c r="R646" s="3066">
        <v>0</v>
      </c>
      <c r="S646" s="3066" t="s">
        <v>3577</v>
      </c>
      <c r="T646" s="3066">
        <v>20</v>
      </c>
      <c r="U646" s="3066">
        <v>712</v>
      </c>
      <c r="V646" s="3066" t="s">
        <v>3560</v>
      </c>
      <c r="W646" s="3066" t="s">
        <v>3568</v>
      </c>
      <c r="X646" s="3066">
        <v>2</v>
      </c>
      <c r="Y646" s="3066">
        <v>854.4</v>
      </c>
      <c r="Z646" s="3066" t="s">
        <v>3568</v>
      </c>
      <c r="AA646" s="3066" t="s">
        <v>3560</v>
      </c>
      <c r="AB646" s="3066" t="s">
        <v>3746</v>
      </c>
      <c r="AC646" s="3066" t="s">
        <v>3746</v>
      </c>
      <c r="AD646" s="3066" t="s">
        <v>3746</v>
      </c>
      <c r="AE646" s="3066" t="s">
        <v>3560</v>
      </c>
      <c r="AF646" s="3067">
        <v>712</v>
      </c>
      <c r="AG646" s="3066">
        <v>0</v>
      </c>
      <c r="AH646" s="3066">
        <v>71.2</v>
      </c>
      <c r="AI646" s="3066">
        <v>0</v>
      </c>
      <c r="AJ646" s="3066">
        <v>29.33</v>
      </c>
      <c r="AK646" s="3066">
        <v>0</v>
      </c>
      <c r="AL646" s="3066">
        <v>812.53</v>
      </c>
      <c r="AM646" s="3066">
        <v>0</v>
      </c>
      <c r="AN646" s="3066" t="s">
        <v>3560</v>
      </c>
      <c r="AP646" s="3068">
        <f t="shared" si="10"/>
        <v>20</v>
      </c>
    </row>
    <row r="647" spans="2:42" ht="27" customHeight="1">
      <c r="B647" s="3066">
        <v>655</v>
      </c>
      <c r="C647" s="3066" t="s">
        <v>5490</v>
      </c>
      <c r="D647" s="3066" t="s">
        <v>3926</v>
      </c>
      <c r="E647" s="3066" t="s">
        <v>5624</v>
      </c>
      <c r="F647" s="3066" t="s">
        <v>3917</v>
      </c>
      <c r="G647" s="3066" t="s">
        <v>1373</v>
      </c>
      <c r="H647" s="3066" t="s">
        <v>3560</v>
      </c>
      <c r="I647" s="3066" t="s">
        <v>3800</v>
      </c>
      <c r="J647" s="3066" t="s">
        <v>3801</v>
      </c>
      <c r="K647" s="3066" t="s">
        <v>3560</v>
      </c>
      <c r="L647" s="3066" t="s">
        <v>3802</v>
      </c>
      <c r="M647" s="3066" t="s">
        <v>5625</v>
      </c>
      <c r="N647" s="3066">
        <v>35.6</v>
      </c>
      <c r="O647" s="3066" t="s">
        <v>3744</v>
      </c>
      <c r="P647" s="3066" t="s">
        <v>3566</v>
      </c>
      <c r="Q647" s="3066">
        <v>1</v>
      </c>
      <c r="R647" s="3066">
        <v>0</v>
      </c>
      <c r="S647" s="3066" t="s">
        <v>3577</v>
      </c>
      <c r="T647" s="3066">
        <v>20</v>
      </c>
      <c r="U647" s="3066">
        <v>712</v>
      </c>
      <c r="V647" s="3066" t="s">
        <v>3560</v>
      </c>
      <c r="W647" s="3066" t="s">
        <v>3568</v>
      </c>
      <c r="X647" s="3066">
        <v>2</v>
      </c>
      <c r="Y647" s="3066">
        <v>854.4</v>
      </c>
      <c r="Z647" s="3066" t="s">
        <v>3568</v>
      </c>
      <c r="AA647" s="3066" t="s">
        <v>3560</v>
      </c>
      <c r="AB647" s="3066" t="s">
        <v>3746</v>
      </c>
      <c r="AC647" s="3066" t="s">
        <v>3746</v>
      </c>
      <c r="AD647" s="3066" t="s">
        <v>3746</v>
      </c>
      <c r="AE647" s="3066" t="s">
        <v>3560</v>
      </c>
      <c r="AF647" s="3067">
        <v>712</v>
      </c>
      <c r="AG647" s="3066">
        <v>0</v>
      </c>
      <c r="AH647" s="3066">
        <v>71.2</v>
      </c>
      <c r="AI647" s="3066">
        <v>0</v>
      </c>
      <c r="AJ647" s="3066">
        <v>220.96</v>
      </c>
      <c r="AK647" s="3066">
        <v>0</v>
      </c>
      <c r="AL647" s="3066">
        <v>1004.16</v>
      </c>
      <c r="AM647" s="3066">
        <v>0</v>
      </c>
      <c r="AN647" s="3066" t="s">
        <v>3560</v>
      </c>
      <c r="AP647" s="3068">
        <f t="shared" si="10"/>
        <v>20</v>
      </c>
    </row>
    <row r="648" spans="2:42" ht="27" customHeight="1">
      <c r="B648" s="3066">
        <v>656</v>
      </c>
      <c r="C648" s="3066" t="s">
        <v>5490</v>
      </c>
      <c r="D648" s="3066" t="s">
        <v>3926</v>
      </c>
      <c r="E648" s="3066" t="s">
        <v>5626</v>
      </c>
      <c r="F648" s="3066" t="s">
        <v>3917</v>
      </c>
      <c r="G648" s="3066" t="s">
        <v>1373</v>
      </c>
      <c r="H648" s="3066" t="s">
        <v>3560</v>
      </c>
      <c r="I648" s="3066" t="s">
        <v>3800</v>
      </c>
      <c r="J648" s="3066" t="s">
        <v>3801</v>
      </c>
      <c r="K648" s="3066" t="s">
        <v>3560</v>
      </c>
      <c r="L648" s="3066" t="s">
        <v>3802</v>
      </c>
      <c r="M648" s="3066" t="s">
        <v>5627</v>
      </c>
      <c r="N648" s="3066">
        <v>35.6</v>
      </c>
      <c r="O648" s="3066" t="s">
        <v>3744</v>
      </c>
      <c r="P648" s="3066" t="s">
        <v>3566</v>
      </c>
      <c r="Q648" s="3066">
        <v>1</v>
      </c>
      <c r="R648" s="3066">
        <v>0</v>
      </c>
      <c r="S648" s="3066" t="s">
        <v>3577</v>
      </c>
      <c r="T648" s="3066">
        <v>20</v>
      </c>
      <c r="U648" s="3066">
        <v>712</v>
      </c>
      <c r="V648" s="3066" t="s">
        <v>3560</v>
      </c>
      <c r="W648" s="3066" t="s">
        <v>3568</v>
      </c>
      <c r="X648" s="3066">
        <v>2</v>
      </c>
      <c r="Y648" s="3066">
        <v>854.4</v>
      </c>
      <c r="Z648" s="3066" t="s">
        <v>3568</v>
      </c>
      <c r="AA648" s="3066" t="s">
        <v>3560</v>
      </c>
      <c r="AB648" s="3066" t="s">
        <v>3746</v>
      </c>
      <c r="AC648" s="3066" t="s">
        <v>3746</v>
      </c>
      <c r="AD648" s="3066" t="s">
        <v>3746</v>
      </c>
      <c r="AE648" s="3066" t="s">
        <v>3560</v>
      </c>
      <c r="AF648" s="3067">
        <v>712</v>
      </c>
      <c r="AG648" s="3066">
        <v>0</v>
      </c>
      <c r="AH648" s="3066">
        <v>71.2</v>
      </c>
      <c r="AI648" s="3066">
        <v>0</v>
      </c>
      <c r="AJ648" s="3066">
        <v>387.75</v>
      </c>
      <c r="AK648" s="3066">
        <v>0</v>
      </c>
      <c r="AL648" s="3066">
        <v>1170.95</v>
      </c>
      <c r="AM648" s="3066">
        <v>0</v>
      </c>
      <c r="AN648" s="3066" t="s">
        <v>3560</v>
      </c>
      <c r="AP648" s="3068">
        <f t="shared" si="10"/>
        <v>20</v>
      </c>
    </row>
    <row r="649" spans="2:42" ht="27" customHeight="1">
      <c r="B649" s="3066">
        <v>657</v>
      </c>
      <c r="C649" s="3066" t="s">
        <v>5490</v>
      </c>
      <c r="D649" s="3066" t="s">
        <v>3926</v>
      </c>
      <c r="E649" s="3066" t="s">
        <v>5628</v>
      </c>
      <c r="F649" s="3066" t="s">
        <v>3917</v>
      </c>
      <c r="G649" s="3066" t="s">
        <v>1373</v>
      </c>
      <c r="H649" s="3066" t="s">
        <v>3560</v>
      </c>
      <c r="I649" s="3066" t="s">
        <v>3800</v>
      </c>
      <c r="J649" s="3066" t="s">
        <v>3801</v>
      </c>
      <c r="K649" s="3066" t="s">
        <v>3560</v>
      </c>
      <c r="L649" s="3066" t="s">
        <v>3802</v>
      </c>
      <c r="M649" s="3066" t="s">
        <v>5629</v>
      </c>
      <c r="N649" s="3066">
        <v>35.6</v>
      </c>
      <c r="O649" s="3066" t="s">
        <v>3744</v>
      </c>
      <c r="P649" s="3066" t="s">
        <v>3566</v>
      </c>
      <c r="Q649" s="3066">
        <v>1</v>
      </c>
      <c r="R649" s="3066">
        <v>0</v>
      </c>
      <c r="S649" s="3066" t="s">
        <v>3577</v>
      </c>
      <c r="T649" s="3066">
        <v>20</v>
      </c>
      <c r="U649" s="3066">
        <v>712</v>
      </c>
      <c r="V649" s="3066" t="s">
        <v>3560</v>
      </c>
      <c r="W649" s="3066" t="s">
        <v>3568</v>
      </c>
      <c r="X649" s="3066">
        <v>2</v>
      </c>
      <c r="Y649" s="3066">
        <v>854.4</v>
      </c>
      <c r="Z649" s="3066" t="s">
        <v>3568</v>
      </c>
      <c r="AA649" s="3066" t="s">
        <v>3560</v>
      </c>
      <c r="AB649" s="3066" t="s">
        <v>3746</v>
      </c>
      <c r="AC649" s="3066" t="s">
        <v>3746</v>
      </c>
      <c r="AD649" s="3066" t="s">
        <v>3746</v>
      </c>
      <c r="AE649" s="3066" t="s">
        <v>3560</v>
      </c>
      <c r="AF649" s="3067">
        <v>712</v>
      </c>
      <c r="AG649" s="3066">
        <v>0</v>
      </c>
      <c r="AH649" s="3066">
        <v>71.2</v>
      </c>
      <c r="AI649" s="3066">
        <v>0</v>
      </c>
      <c r="AJ649" s="3066">
        <v>448.93</v>
      </c>
      <c r="AK649" s="3066">
        <v>0</v>
      </c>
      <c r="AL649" s="3066">
        <v>1232.1300000000001</v>
      </c>
      <c r="AM649" s="3066">
        <v>0</v>
      </c>
      <c r="AN649" s="3066" t="s">
        <v>3560</v>
      </c>
      <c r="AP649" s="3068">
        <f t="shared" si="10"/>
        <v>20</v>
      </c>
    </row>
    <row r="650" spans="2:42" ht="27" customHeight="1">
      <c r="B650" s="3066">
        <v>658</v>
      </c>
      <c r="C650" s="3066" t="s">
        <v>5490</v>
      </c>
      <c r="D650" s="3066" t="s">
        <v>3926</v>
      </c>
      <c r="E650" s="3066" t="s">
        <v>5630</v>
      </c>
      <c r="F650" s="3066" t="s">
        <v>3917</v>
      </c>
      <c r="G650" s="3066" t="s">
        <v>1373</v>
      </c>
      <c r="H650" s="3066" t="s">
        <v>3560</v>
      </c>
      <c r="I650" s="3066" t="s">
        <v>3759</v>
      </c>
      <c r="J650" s="3066" t="s">
        <v>3760</v>
      </c>
      <c r="K650" s="3066" t="s">
        <v>3560</v>
      </c>
      <c r="L650" s="3066" t="s">
        <v>3761</v>
      </c>
      <c r="M650" s="3066" t="s">
        <v>5631</v>
      </c>
      <c r="N650" s="3066">
        <v>35.6</v>
      </c>
      <c r="O650" s="3066" t="s">
        <v>4516</v>
      </c>
      <c r="P650" s="3066" t="s">
        <v>3566</v>
      </c>
      <c r="Q650" s="3066">
        <v>0</v>
      </c>
      <c r="R650" s="3066">
        <v>2349.6</v>
      </c>
      <c r="S650" s="3066" t="s">
        <v>3567</v>
      </c>
      <c r="T650" s="3066">
        <v>20</v>
      </c>
      <c r="U650" s="3066">
        <v>712</v>
      </c>
      <c r="V650" s="3066" t="s">
        <v>3560</v>
      </c>
      <c r="W650" s="3066" t="s">
        <v>3568</v>
      </c>
      <c r="X650" s="3066">
        <v>2</v>
      </c>
      <c r="Y650" s="3066">
        <v>854.4</v>
      </c>
      <c r="Z650" s="3066" t="s">
        <v>3568</v>
      </c>
      <c r="AA650" s="3066" t="s">
        <v>3560</v>
      </c>
      <c r="AB650" s="3066" t="s">
        <v>3584</v>
      </c>
      <c r="AC650" s="3066" t="s">
        <v>3584</v>
      </c>
      <c r="AD650" s="3066" t="s">
        <v>3584</v>
      </c>
      <c r="AE650" s="3066" t="s">
        <v>3560</v>
      </c>
      <c r="AF650" s="3067">
        <v>712</v>
      </c>
      <c r="AG650" s="3066">
        <v>0</v>
      </c>
      <c r="AH650" s="3066">
        <v>71.2</v>
      </c>
      <c r="AI650" s="3066">
        <v>0</v>
      </c>
      <c r="AJ650" s="3066">
        <v>74.75</v>
      </c>
      <c r="AK650" s="3066">
        <v>0</v>
      </c>
      <c r="AL650" s="3066">
        <v>857.95</v>
      </c>
      <c r="AM650" s="3066">
        <v>0</v>
      </c>
      <c r="AN650" s="3066" t="s">
        <v>3560</v>
      </c>
      <c r="AP650" s="3068">
        <f t="shared" si="10"/>
        <v>20</v>
      </c>
    </row>
    <row r="651" spans="2:42" ht="27" customHeight="1">
      <c r="B651" s="3066">
        <v>659</v>
      </c>
      <c r="C651" s="3066" t="s">
        <v>5490</v>
      </c>
      <c r="D651" s="3066" t="s">
        <v>3926</v>
      </c>
      <c r="E651" s="3066" t="s">
        <v>5632</v>
      </c>
      <c r="F651" s="3066" t="s">
        <v>3917</v>
      </c>
      <c r="G651" s="3066" t="s">
        <v>1373</v>
      </c>
      <c r="H651" s="3066" t="s">
        <v>3560</v>
      </c>
      <c r="I651" s="3066" t="s">
        <v>5633</v>
      </c>
      <c r="J651" s="3066" t="s">
        <v>5634</v>
      </c>
      <c r="K651" s="3066" t="s">
        <v>3560</v>
      </c>
      <c r="L651" s="3066" t="s">
        <v>5635</v>
      </c>
      <c r="M651" s="3066" t="s">
        <v>5636</v>
      </c>
      <c r="N651" s="3066">
        <v>35.6</v>
      </c>
      <c r="O651" s="3066" t="s">
        <v>5211</v>
      </c>
      <c r="P651" s="3066" t="s">
        <v>3566</v>
      </c>
      <c r="Q651" s="3066">
        <v>1</v>
      </c>
      <c r="R651" s="3066">
        <v>4144</v>
      </c>
      <c r="S651" s="3066" t="s">
        <v>3567</v>
      </c>
      <c r="T651" s="3066">
        <v>21</v>
      </c>
      <c r="U651" s="3066">
        <v>747.6</v>
      </c>
      <c r="V651" s="3066" t="s">
        <v>3560</v>
      </c>
      <c r="W651" s="3066" t="s">
        <v>3568</v>
      </c>
      <c r="X651" s="3066">
        <v>2.2799999999999998</v>
      </c>
      <c r="Y651" s="3066">
        <v>974.4</v>
      </c>
      <c r="Z651" s="3066" t="s">
        <v>3568</v>
      </c>
      <c r="AA651" s="3066" t="s">
        <v>3560</v>
      </c>
      <c r="AB651" s="3066" t="s">
        <v>3943</v>
      </c>
      <c r="AC651" s="3066" t="s">
        <v>3943</v>
      </c>
      <c r="AD651" s="3066" t="s">
        <v>3943</v>
      </c>
      <c r="AE651" s="3066" t="s">
        <v>3560</v>
      </c>
      <c r="AF651" s="3067">
        <v>712</v>
      </c>
      <c r="AG651" s="3066">
        <v>712</v>
      </c>
      <c r="AH651" s="3066">
        <v>81.2</v>
      </c>
      <c r="AI651" s="3066">
        <v>81.2</v>
      </c>
      <c r="AJ651" s="3066">
        <v>74.95</v>
      </c>
      <c r="AK651" s="3066">
        <v>74.95</v>
      </c>
      <c r="AL651" s="3066">
        <v>868.15</v>
      </c>
      <c r="AM651" s="3066">
        <v>868.15</v>
      </c>
      <c r="AN651" s="3066" t="s">
        <v>3560</v>
      </c>
      <c r="AP651" s="3068">
        <f t="shared" si="10"/>
        <v>20</v>
      </c>
    </row>
    <row r="652" spans="2:42" ht="27" customHeight="1">
      <c r="B652" s="3066">
        <v>660</v>
      </c>
      <c r="C652" s="3066" t="s">
        <v>5490</v>
      </c>
      <c r="D652" s="3066" t="s">
        <v>3926</v>
      </c>
      <c r="E652" s="3066" t="s">
        <v>5637</v>
      </c>
      <c r="F652" s="3066" t="s">
        <v>3917</v>
      </c>
      <c r="G652" s="3066" t="s">
        <v>3560</v>
      </c>
      <c r="H652" s="3066" t="s">
        <v>3560</v>
      </c>
      <c r="I652" s="3066" t="s">
        <v>5638</v>
      </c>
      <c r="J652" s="3066" t="s">
        <v>5638</v>
      </c>
      <c r="K652" s="3066" t="s">
        <v>3560</v>
      </c>
      <c r="L652" s="3066" t="s">
        <v>5639</v>
      </c>
      <c r="M652" s="3066" t="s">
        <v>5640</v>
      </c>
      <c r="N652" s="3066">
        <v>35.6</v>
      </c>
      <c r="O652" s="3066" t="s">
        <v>3931</v>
      </c>
      <c r="P652" s="3066" t="s">
        <v>3566</v>
      </c>
      <c r="Q652" s="3066">
        <v>1</v>
      </c>
      <c r="R652" s="3066">
        <v>3966</v>
      </c>
      <c r="S652" s="3066" t="s">
        <v>3567</v>
      </c>
      <c r="T652" s="3066">
        <v>20</v>
      </c>
      <c r="U652" s="3066">
        <v>712</v>
      </c>
      <c r="V652" s="3066" t="s">
        <v>3560</v>
      </c>
      <c r="W652" s="3066" t="s">
        <v>3568</v>
      </c>
      <c r="X652" s="3066">
        <v>2.2799999999999998</v>
      </c>
      <c r="Y652" s="3066">
        <v>974.4</v>
      </c>
      <c r="Z652" s="3066" t="s">
        <v>3568</v>
      </c>
      <c r="AA652" s="3066" t="s">
        <v>3560</v>
      </c>
      <c r="AB652" s="3066" t="s">
        <v>3932</v>
      </c>
      <c r="AC652" s="3066" t="s">
        <v>3932</v>
      </c>
      <c r="AD652" s="3066" t="s">
        <v>3932</v>
      </c>
      <c r="AE652" s="3066" t="s">
        <v>3560</v>
      </c>
      <c r="AF652" s="3067">
        <v>712</v>
      </c>
      <c r="AG652" s="3066">
        <v>712</v>
      </c>
      <c r="AH652" s="3066">
        <v>81.2</v>
      </c>
      <c r="AI652" s="3066">
        <v>81.2</v>
      </c>
      <c r="AJ652" s="3066">
        <v>108.78</v>
      </c>
      <c r="AK652" s="3066">
        <v>108.78</v>
      </c>
      <c r="AL652" s="3066">
        <v>901.98</v>
      </c>
      <c r="AM652" s="3066">
        <v>901.98</v>
      </c>
      <c r="AN652" s="3066" t="s">
        <v>3560</v>
      </c>
      <c r="AP652" s="3068">
        <f t="shared" si="10"/>
        <v>20</v>
      </c>
    </row>
    <row r="653" spans="2:42" ht="27" customHeight="1">
      <c r="B653" s="3066">
        <v>661</v>
      </c>
      <c r="C653" s="3066" t="s">
        <v>5490</v>
      </c>
      <c r="D653" s="3066" t="s">
        <v>3926</v>
      </c>
      <c r="E653" s="3066" t="s">
        <v>5641</v>
      </c>
      <c r="F653" s="3066" t="s">
        <v>3917</v>
      </c>
      <c r="G653" s="3066" t="s">
        <v>1373</v>
      </c>
      <c r="H653" s="3066" t="s">
        <v>3560</v>
      </c>
      <c r="I653" s="3066" t="s">
        <v>4591</v>
      </c>
      <c r="J653" s="3066" t="s">
        <v>3560</v>
      </c>
      <c r="K653" s="3066" t="s">
        <v>3560</v>
      </c>
      <c r="L653" s="3066" t="s">
        <v>4592</v>
      </c>
      <c r="M653" s="3066" t="s">
        <v>5642</v>
      </c>
      <c r="N653" s="3066">
        <v>35.6</v>
      </c>
      <c r="O653" s="3066" t="s">
        <v>4488</v>
      </c>
      <c r="P653" s="3066" t="s">
        <v>3566</v>
      </c>
      <c r="Q653" s="3066">
        <v>1</v>
      </c>
      <c r="R653" s="3066">
        <v>1222</v>
      </c>
      <c r="S653" s="3066" t="s">
        <v>3567</v>
      </c>
      <c r="T653" s="3066">
        <v>20</v>
      </c>
      <c r="U653" s="3066">
        <v>712</v>
      </c>
      <c r="V653" s="3066" t="s">
        <v>3560</v>
      </c>
      <c r="W653" s="3066" t="s">
        <v>3568</v>
      </c>
      <c r="X653" s="3066">
        <v>2.2799999999999998</v>
      </c>
      <c r="Y653" s="3066">
        <v>974.4</v>
      </c>
      <c r="Z653" s="3066" t="s">
        <v>3568</v>
      </c>
      <c r="AA653" s="3066" t="s">
        <v>3560</v>
      </c>
      <c r="AB653" s="3066" t="s">
        <v>4489</v>
      </c>
      <c r="AC653" s="3066" t="s">
        <v>4489</v>
      </c>
      <c r="AD653" s="3066" t="s">
        <v>4489</v>
      </c>
      <c r="AE653" s="3066" t="s">
        <v>3560</v>
      </c>
      <c r="AF653" s="3067">
        <v>712</v>
      </c>
      <c r="AG653" s="3066">
        <v>712</v>
      </c>
      <c r="AH653" s="3066">
        <v>81.2</v>
      </c>
      <c r="AI653" s="3066">
        <v>81.2</v>
      </c>
      <c r="AJ653" s="3066">
        <v>0</v>
      </c>
      <c r="AK653" s="3066">
        <v>0</v>
      </c>
      <c r="AL653" s="3066">
        <v>793.2</v>
      </c>
      <c r="AM653" s="3066">
        <v>793.2</v>
      </c>
      <c r="AN653" s="3066" t="s">
        <v>3560</v>
      </c>
      <c r="AP653" s="3068">
        <f t="shared" si="10"/>
        <v>20</v>
      </c>
    </row>
    <row r="654" spans="2:42" ht="27" customHeight="1">
      <c r="B654" s="3066">
        <v>662</v>
      </c>
      <c r="C654" s="3066" t="s">
        <v>5490</v>
      </c>
      <c r="D654" s="3066" t="s">
        <v>3926</v>
      </c>
      <c r="E654" s="3066" t="s">
        <v>5643</v>
      </c>
      <c r="F654" s="3066" t="s">
        <v>3917</v>
      </c>
      <c r="G654" s="3066" t="s">
        <v>1373</v>
      </c>
      <c r="H654" s="3066" t="s">
        <v>3560</v>
      </c>
      <c r="I654" s="3066" t="s">
        <v>4591</v>
      </c>
      <c r="J654" s="3066" t="s">
        <v>3560</v>
      </c>
      <c r="K654" s="3066" t="s">
        <v>3560</v>
      </c>
      <c r="L654" s="3066" t="s">
        <v>4592</v>
      </c>
      <c r="M654" s="3066" t="s">
        <v>5644</v>
      </c>
      <c r="N654" s="3066">
        <v>35.6</v>
      </c>
      <c r="O654" s="3066" t="s">
        <v>4488</v>
      </c>
      <c r="P654" s="3066" t="s">
        <v>3566</v>
      </c>
      <c r="Q654" s="3066">
        <v>1</v>
      </c>
      <c r="R654" s="3066">
        <v>0</v>
      </c>
      <c r="S654" s="3066" t="s">
        <v>3577</v>
      </c>
      <c r="T654" s="3066">
        <v>20</v>
      </c>
      <c r="U654" s="3066">
        <v>712</v>
      </c>
      <c r="V654" s="3066" t="s">
        <v>3560</v>
      </c>
      <c r="W654" s="3066" t="s">
        <v>3568</v>
      </c>
      <c r="X654" s="3066">
        <v>2.2799999999999998</v>
      </c>
      <c r="Y654" s="3066">
        <v>974.4</v>
      </c>
      <c r="Z654" s="3066" t="s">
        <v>3568</v>
      </c>
      <c r="AA654" s="3066" t="s">
        <v>3560</v>
      </c>
      <c r="AB654" s="3066" t="s">
        <v>4489</v>
      </c>
      <c r="AC654" s="3066" t="s">
        <v>4489</v>
      </c>
      <c r="AD654" s="3066" t="s">
        <v>4489</v>
      </c>
      <c r="AE654" s="3066" t="s">
        <v>3560</v>
      </c>
      <c r="AF654" s="3067">
        <v>712</v>
      </c>
      <c r="AG654" s="3066">
        <v>712</v>
      </c>
      <c r="AH654" s="3066">
        <v>81.2</v>
      </c>
      <c r="AI654" s="3066">
        <v>81.2</v>
      </c>
      <c r="AJ654" s="3066">
        <v>173.36</v>
      </c>
      <c r="AK654" s="3066">
        <v>173.36</v>
      </c>
      <c r="AL654" s="3066">
        <v>966.56</v>
      </c>
      <c r="AM654" s="3066">
        <v>966.56</v>
      </c>
      <c r="AN654" s="3066" t="s">
        <v>3560</v>
      </c>
      <c r="AP654" s="3068">
        <f t="shared" si="10"/>
        <v>20</v>
      </c>
    </row>
    <row r="655" spans="2:42" ht="27" customHeight="1">
      <c r="B655" s="3066">
        <v>663</v>
      </c>
      <c r="C655" s="3066" t="s">
        <v>5490</v>
      </c>
      <c r="D655" s="3066" t="s">
        <v>3926</v>
      </c>
      <c r="E655" s="3066" t="s">
        <v>5645</v>
      </c>
      <c r="F655" s="3066" t="s">
        <v>3917</v>
      </c>
      <c r="G655" s="3066" t="s">
        <v>3560</v>
      </c>
      <c r="H655" s="3066" t="s">
        <v>3560</v>
      </c>
      <c r="I655" s="3066" t="s">
        <v>5646</v>
      </c>
      <c r="J655" s="3066" t="s">
        <v>5646</v>
      </c>
      <c r="K655" s="3066" t="s">
        <v>3560</v>
      </c>
      <c r="L655" s="3066" t="s">
        <v>5647</v>
      </c>
      <c r="M655" s="3066" t="s">
        <v>5648</v>
      </c>
      <c r="N655" s="3066">
        <v>35.6</v>
      </c>
      <c r="O655" s="3066" t="s">
        <v>5211</v>
      </c>
      <c r="P655" s="3066" t="s">
        <v>3566</v>
      </c>
      <c r="Q655" s="3066">
        <v>1</v>
      </c>
      <c r="R655" s="3066">
        <v>2486</v>
      </c>
      <c r="S655" s="3066" t="s">
        <v>3567</v>
      </c>
      <c r="T655" s="3066">
        <v>21</v>
      </c>
      <c r="U655" s="3066">
        <v>747.6</v>
      </c>
      <c r="V655" s="3066" t="s">
        <v>3560</v>
      </c>
      <c r="W655" s="3066" t="s">
        <v>3568</v>
      </c>
      <c r="X655" s="3066">
        <v>2.2799999999999998</v>
      </c>
      <c r="Y655" s="3066">
        <v>974.4</v>
      </c>
      <c r="Z655" s="3066" t="s">
        <v>3568</v>
      </c>
      <c r="AA655" s="3066" t="s">
        <v>3560</v>
      </c>
      <c r="AB655" s="3066" t="s">
        <v>3943</v>
      </c>
      <c r="AC655" s="3066" t="s">
        <v>3943</v>
      </c>
      <c r="AD655" s="3066" t="s">
        <v>3943</v>
      </c>
      <c r="AE655" s="3066" t="s">
        <v>3560</v>
      </c>
      <c r="AF655" s="3067">
        <v>712</v>
      </c>
      <c r="AG655" s="3066">
        <v>712</v>
      </c>
      <c r="AH655" s="3066">
        <v>81.2</v>
      </c>
      <c r="AI655" s="3066">
        <v>81.2</v>
      </c>
      <c r="AJ655" s="3066">
        <v>60.6</v>
      </c>
      <c r="AK655" s="3066">
        <v>60.6</v>
      </c>
      <c r="AL655" s="3066">
        <v>853.8</v>
      </c>
      <c r="AM655" s="3066">
        <v>853.8</v>
      </c>
      <c r="AN655" s="3066" t="s">
        <v>3560</v>
      </c>
      <c r="AP655" s="3068">
        <f t="shared" si="10"/>
        <v>20</v>
      </c>
    </row>
    <row r="656" spans="2:42" ht="27" customHeight="1">
      <c r="B656" s="3066">
        <v>664</v>
      </c>
      <c r="C656" s="3066" t="s">
        <v>5490</v>
      </c>
      <c r="D656" s="3066" t="s">
        <v>3926</v>
      </c>
      <c r="E656" s="3066" t="s">
        <v>5649</v>
      </c>
      <c r="F656" s="3066" t="s">
        <v>3917</v>
      </c>
      <c r="G656" s="3066" t="s">
        <v>3560</v>
      </c>
      <c r="H656" s="3066" t="s">
        <v>3560</v>
      </c>
      <c r="I656" s="3066" t="s">
        <v>5650</v>
      </c>
      <c r="J656" s="3066" t="s">
        <v>5650</v>
      </c>
      <c r="K656" s="3066" t="s">
        <v>3560</v>
      </c>
      <c r="L656" s="3066" t="s">
        <v>5651</v>
      </c>
      <c r="M656" s="3066" t="s">
        <v>5652</v>
      </c>
      <c r="N656" s="3066">
        <v>39.700000000000003</v>
      </c>
      <c r="O656" s="3066" t="s">
        <v>5230</v>
      </c>
      <c r="P656" s="3066" t="s">
        <v>3566</v>
      </c>
      <c r="Q656" s="3066">
        <v>1</v>
      </c>
      <c r="R656" s="3066">
        <v>4616</v>
      </c>
      <c r="S656" s="3066" t="s">
        <v>3567</v>
      </c>
      <c r="T656" s="3066">
        <v>21</v>
      </c>
      <c r="U656" s="3066">
        <v>833.7</v>
      </c>
      <c r="V656" s="3066" t="s">
        <v>3560</v>
      </c>
      <c r="W656" s="3066" t="s">
        <v>3568</v>
      </c>
      <c r="X656" s="3066">
        <v>2.25</v>
      </c>
      <c r="Y656" s="3066">
        <v>1072.8</v>
      </c>
      <c r="Z656" s="3066" t="s">
        <v>3568</v>
      </c>
      <c r="AA656" s="3066" t="s">
        <v>3560</v>
      </c>
      <c r="AB656" s="3066" t="s">
        <v>4868</v>
      </c>
      <c r="AC656" s="3066" t="s">
        <v>4868</v>
      </c>
      <c r="AD656" s="3066" t="s">
        <v>4868</v>
      </c>
      <c r="AE656" s="3066" t="s">
        <v>3560</v>
      </c>
      <c r="AF656" s="3067">
        <v>0</v>
      </c>
      <c r="AG656" s="3066">
        <v>0</v>
      </c>
      <c r="AH656" s="3066">
        <v>0</v>
      </c>
      <c r="AI656" s="3066">
        <v>0</v>
      </c>
      <c r="AJ656" s="3066">
        <v>40.28</v>
      </c>
      <c r="AK656" s="3066">
        <v>0</v>
      </c>
      <c r="AL656" s="3066">
        <v>40.28</v>
      </c>
      <c r="AM656" s="3066">
        <v>0</v>
      </c>
      <c r="AN656" s="3066" t="s">
        <v>3560</v>
      </c>
      <c r="AP656" s="3068">
        <f t="shared" si="10"/>
        <v>0</v>
      </c>
    </row>
    <row r="657" spans="2:42" ht="27" customHeight="1">
      <c r="B657" s="3066">
        <v>665</v>
      </c>
      <c r="C657" s="3066" t="s">
        <v>5490</v>
      </c>
      <c r="D657" s="3066" t="s">
        <v>3972</v>
      </c>
      <c r="E657" s="3066" t="s">
        <v>5653</v>
      </c>
      <c r="F657" s="3066" t="s">
        <v>3917</v>
      </c>
      <c r="G657" s="3066" t="s">
        <v>1373</v>
      </c>
      <c r="H657" s="3066" t="s">
        <v>3560</v>
      </c>
      <c r="I657" s="3066" t="s">
        <v>5654</v>
      </c>
      <c r="J657" s="3066" t="s">
        <v>3560</v>
      </c>
      <c r="K657" s="3066" t="s">
        <v>3560</v>
      </c>
      <c r="L657" s="3066" t="s">
        <v>5655</v>
      </c>
      <c r="M657" s="3066" t="s">
        <v>5656</v>
      </c>
      <c r="N657" s="3066">
        <v>35.6</v>
      </c>
      <c r="O657" s="3066" t="s">
        <v>3619</v>
      </c>
      <c r="P657" s="3066" t="s">
        <v>3566</v>
      </c>
      <c r="Q657" s="3066">
        <v>1</v>
      </c>
      <c r="R657" s="3066">
        <v>3966</v>
      </c>
      <c r="S657" s="3066" t="s">
        <v>3567</v>
      </c>
      <c r="T657" s="3066">
        <v>20</v>
      </c>
      <c r="U657" s="3066">
        <v>712</v>
      </c>
      <c r="V657" s="3066" t="s">
        <v>3560</v>
      </c>
      <c r="W657" s="3066" t="s">
        <v>3568</v>
      </c>
      <c r="X657" s="3066">
        <v>2.2799999999999998</v>
      </c>
      <c r="Y657" s="3066">
        <v>974.4</v>
      </c>
      <c r="Z657" s="3066" t="s">
        <v>3568</v>
      </c>
      <c r="AA657" s="3066" t="s">
        <v>3560</v>
      </c>
      <c r="AB657" s="3066" t="s">
        <v>3584</v>
      </c>
      <c r="AC657" s="3066" t="s">
        <v>3584</v>
      </c>
      <c r="AD657" s="3066" t="s">
        <v>3584</v>
      </c>
      <c r="AE657" s="3066" t="s">
        <v>3560</v>
      </c>
      <c r="AF657" s="3067">
        <v>712</v>
      </c>
      <c r="AG657" s="3066">
        <v>0</v>
      </c>
      <c r="AH657" s="3066">
        <v>81.2</v>
      </c>
      <c r="AI657" s="3066">
        <v>0</v>
      </c>
      <c r="AJ657" s="3066">
        <v>95.95</v>
      </c>
      <c r="AK657" s="3066">
        <v>0</v>
      </c>
      <c r="AL657" s="3066">
        <v>889.15</v>
      </c>
      <c r="AM657" s="3066">
        <v>0</v>
      </c>
      <c r="AN657" s="3066" t="s">
        <v>3560</v>
      </c>
      <c r="AP657" s="3068">
        <f t="shared" si="10"/>
        <v>20</v>
      </c>
    </row>
    <row r="658" spans="2:42" ht="27" customHeight="1">
      <c r="B658" s="3066">
        <v>666</v>
      </c>
      <c r="C658" s="3066" t="s">
        <v>5490</v>
      </c>
      <c r="D658" s="3066" t="s">
        <v>3972</v>
      </c>
      <c r="E658" s="3066" t="s">
        <v>5657</v>
      </c>
      <c r="F658" s="3066" t="s">
        <v>3917</v>
      </c>
      <c r="G658" s="3066" t="s">
        <v>3560</v>
      </c>
      <c r="H658" s="3066" t="s">
        <v>3560</v>
      </c>
      <c r="I658" s="3066" t="s">
        <v>5658</v>
      </c>
      <c r="J658" s="3066" t="s">
        <v>5658</v>
      </c>
      <c r="K658" s="3066" t="s">
        <v>3560</v>
      </c>
      <c r="L658" s="3066" t="s">
        <v>3560</v>
      </c>
      <c r="M658" s="3066" t="s">
        <v>5659</v>
      </c>
      <c r="N658" s="3066">
        <v>35.6</v>
      </c>
      <c r="O658" s="3066" t="s">
        <v>3619</v>
      </c>
      <c r="P658" s="3066" t="s">
        <v>3745</v>
      </c>
      <c r="Q658" s="3066">
        <v>1</v>
      </c>
      <c r="R658" s="3066">
        <v>500</v>
      </c>
      <c r="S658" s="3066" t="s">
        <v>3567</v>
      </c>
      <c r="T658" s="3066">
        <v>21</v>
      </c>
      <c r="U658" s="3066">
        <v>747.6</v>
      </c>
      <c r="V658" s="3066" t="s">
        <v>3560</v>
      </c>
      <c r="W658" s="3066" t="s">
        <v>3568</v>
      </c>
      <c r="X658" s="3066">
        <v>2.2799999999999998</v>
      </c>
      <c r="Y658" s="3066">
        <v>974.4</v>
      </c>
      <c r="Z658" s="3066" t="s">
        <v>3568</v>
      </c>
      <c r="AA658" s="3066" t="s">
        <v>3560</v>
      </c>
      <c r="AB658" s="3066" t="s">
        <v>3584</v>
      </c>
      <c r="AC658" s="3066" t="s">
        <v>3584</v>
      </c>
      <c r="AD658" s="3066" t="s">
        <v>3584</v>
      </c>
      <c r="AE658" s="3066" t="s">
        <v>3560</v>
      </c>
      <c r="AF658" s="3067">
        <v>747.6</v>
      </c>
      <c r="AG658" s="3066">
        <v>747.6</v>
      </c>
      <c r="AH658" s="3066">
        <v>81.2</v>
      </c>
      <c r="AI658" s="3066">
        <v>81.2</v>
      </c>
      <c r="AJ658" s="3066">
        <v>94.76</v>
      </c>
      <c r="AK658" s="3066">
        <v>94.76</v>
      </c>
      <c r="AL658" s="3066">
        <v>923.56</v>
      </c>
      <c r="AM658" s="3066">
        <v>923.56</v>
      </c>
      <c r="AN658" s="3066" t="s">
        <v>3560</v>
      </c>
      <c r="AP658" s="3068">
        <f t="shared" si="10"/>
        <v>21</v>
      </c>
    </row>
    <row r="659" spans="2:42" ht="27" customHeight="1">
      <c r="B659" s="3066">
        <v>667</v>
      </c>
      <c r="C659" s="3066" t="s">
        <v>5490</v>
      </c>
      <c r="D659" s="3066" t="s">
        <v>3972</v>
      </c>
      <c r="E659" s="3066" t="s">
        <v>5657</v>
      </c>
      <c r="F659" s="3066" t="s">
        <v>3917</v>
      </c>
      <c r="G659" s="3066" t="s">
        <v>3560</v>
      </c>
      <c r="H659" s="3066" t="s">
        <v>3560</v>
      </c>
      <c r="I659" s="3066" t="s">
        <v>5660</v>
      </c>
      <c r="J659" s="3066" t="s">
        <v>5660</v>
      </c>
      <c r="K659" s="3066" t="s">
        <v>3560</v>
      </c>
      <c r="L659" s="3066" t="s">
        <v>5661</v>
      </c>
      <c r="M659" s="3066" t="s">
        <v>5659</v>
      </c>
      <c r="N659" s="3066">
        <v>35.6</v>
      </c>
      <c r="O659" s="3066" t="s">
        <v>5211</v>
      </c>
      <c r="P659" s="3066" t="s">
        <v>3566</v>
      </c>
      <c r="Q659" s="3066">
        <v>1</v>
      </c>
      <c r="R659" s="3066">
        <v>4144</v>
      </c>
      <c r="S659" s="3066" t="s">
        <v>3567</v>
      </c>
      <c r="T659" s="3066">
        <v>21</v>
      </c>
      <c r="U659" s="3066">
        <v>747.6</v>
      </c>
      <c r="V659" s="3066" t="s">
        <v>3560</v>
      </c>
      <c r="W659" s="3066" t="s">
        <v>3568</v>
      </c>
      <c r="X659" s="3066">
        <v>2.2799999999999998</v>
      </c>
      <c r="Y659" s="3066">
        <v>974.4</v>
      </c>
      <c r="Z659" s="3066" t="s">
        <v>3568</v>
      </c>
      <c r="AA659" s="3066" t="s">
        <v>3560</v>
      </c>
      <c r="AB659" s="3066" t="s">
        <v>3943</v>
      </c>
      <c r="AC659" s="3066" t="s">
        <v>3943</v>
      </c>
      <c r="AD659" s="3066" t="s">
        <v>3943</v>
      </c>
      <c r="AE659" s="3066" t="s">
        <v>3560</v>
      </c>
      <c r="AF659" s="3067">
        <v>0</v>
      </c>
      <c r="AG659" s="3066">
        <v>0</v>
      </c>
      <c r="AH659" s="3066">
        <v>0</v>
      </c>
      <c r="AI659" s="3066">
        <v>0</v>
      </c>
      <c r="AJ659" s="3066">
        <v>0</v>
      </c>
      <c r="AK659" s="3066">
        <v>0</v>
      </c>
      <c r="AL659" s="3066">
        <v>0</v>
      </c>
      <c r="AM659" s="3066">
        <v>0</v>
      </c>
      <c r="AN659" s="3066" t="s">
        <v>3560</v>
      </c>
      <c r="AP659" s="3068">
        <f t="shared" si="10"/>
        <v>0</v>
      </c>
    </row>
    <row r="660" spans="2:42" ht="27" customHeight="1">
      <c r="B660" s="3066">
        <v>668</v>
      </c>
      <c r="C660" s="3066" t="s">
        <v>5490</v>
      </c>
      <c r="D660" s="3066" t="s">
        <v>3972</v>
      </c>
      <c r="E660" s="3066" t="s">
        <v>5662</v>
      </c>
      <c r="F660" s="3066" t="s">
        <v>3917</v>
      </c>
      <c r="G660" s="3066" t="s">
        <v>1373</v>
      </c>
      <c r="H660" s="3066" t="s">
        <v>3560</v>
      </c>
      <c r="I660" s="3066" t="s">
        <v>5663</v>
      </c>
      <c r="J660" s="3066" t="s">
        <v>3560</v>
      </c>
      <c r="K660" s="3066" t="s">
        <v>3560</v>
      </c>
      <c r="L660" s="3066" t="s">
        <v>5664</v>
      </c>
      <c r="M660" s="3066" t="s">
        <v>5665</v>
      </c>
      <c r="N660" s="3066">
        <v>35.6</v>
      </c>
      <c r="O660" s="3066" t="s">
        <v>3619</v>
      </c>
      <c r="P660" s="3066" t="s">
        <v>3745</v>
      </c>
      <c r="Q660" s="3066">
        <v>1</v>
      </c>
      <c r="R660" s="3066">
        <v>3170</v>
      </c>
      <c r="S660" s="3066" t="s">
        <v>3567</v>
      </c>
      <c r="T660" s="3066">
        <v>21</v>
      </c>
      <c r="U660" s="3066">
        <v>747.6</v>
      </c>
      <c r="V660" s="3066" t="s">
        <v>3560</v>
      </c>
      <c r="W660" s="3066" t="s">
        <v>3568</v>
      </c>
      <c r="X660" s="3066">
        <v>2.2799999999999998</v>
      </c>
      <c r="Y660" s="3066">
        <v>974.4</v>
      </c>
      <c r="Z660" s="3066" t="s">
        <v>3568</v>
      </c>
      <c r="AA660" s="3066" t="s">
        <v>3560</v>
      </c>
      <c r="AB660" s="3066" t="s">
        <v>3584</v>
      </c>
      <c r="AC660" s="3066" t="s">
        <v>3584</v>
      </c>
      <c r="AD660" s="3066" t="s">
        <v>3584</v>
      </c>
      <c r="AE660" s="3066" t="s">
        <v>3560</v>
      </c>
      <c r="AF660" s="3067">
        <v>747.6</v>
      </c>
      <c r="AG660" s="3066">
        <v>0</v>
      </c>
      <c r="AH660" s="3066">
        <v>81.2</v>
      </c>
      <c r="AI660" s="3066">
        <v>0</v>
      </c>
      <c r="AJ660" s="3066">
        <v>10.71</v>
      </c>
      <c r="AK660" s="3066">
        <v>0</v>
      </c>
      <c r="AL660" s="3066">
        <v>839.51</v>
      </c>
      <c r="AM660" s="3066">
        <v>0</v>
      </c>
      <c r="AN660" s="3066" t="s">
        <v>3560</v>
      </c>
      <c r="AP660" s="3068">
        <f t="shared" si="10"/>
        <v>21</v>
      </c>
    </row>
    <row r="661" spans="2:42" ht="27" customHeight="1">
      <c r="B661" s="3066">
        <v>669</v>
      </c>
      <c r="C661" s="3066" t="s">
        <v>5490</v>
      </c>
      <c r="D661" s="3066" t="s">
        <v>3972</v>
      </c>
      <c r="E661" s="3066" t="s">
        <v>5662</v>
      </c>
      <c r="F661" s="3066" t="s">
        <v>3917</v>
      </c>
      <c r="G661" s="3066" t="s">
        <v>1373</v>
      </c>
      <c r="H661" s="3066" t="s">
        <v>3560</v>
      </c>
      <c r="I661" s="3066" t="s">
        <v>5666</v>
      </c>
      <c r="J661" s="3066" t="s">
        <v>3560</v>
      </c>
      <c r="K661" s="3066" t="s">
        <v>3560</v>
      </c>
      <c r="L661" s="3066" t="s">
        <v>5667</v>
      </c>
      <c r="M661" s="3066" t="s">
        <v>5665</v>
      </c>
      <c r="N661" s="3066">
        <v>35.6</v>
      </c>
      <c r="O661" s="3066" t="s">
        <v>5230</v>
      </c>
      <c r="P661" s="3066" t="s">
        <v>4096</v>
      </c>
      <c r="Q661" s="3066">
        <v>1</v>
      </c>
      <c r="R661" s="3066">
        <v>4144</v>
      </c>
      <c r="S661" s="3066" t="s">
        <v>3567</v>
      </c>
      <c r="T661" s="3066">
        <v>21</v>
      </c>
      <c r="U661" s="3066">
        <v>747.6</v>
      </c>
      <c r="V661" s="3066" t="s">
        <v>3560</v>
      </c>
      <c r="W661" s="3066" t="s">
        <v>3568</v>
      </c>
      <c r="X661" s="3066">
        <v>2.2799999999999998</v>
      </c>
      <c r="Y661" s="3066">
        <v>974.4</v>
      </c>
      <c r="Z661" s="3066" t="s">
        <v>3568</v>
      </c>
      <c r="AA661" s="3066" t="s">
        <v>3560</v>
      </c>
      <c r="AB661" s="3066" t="s">
        <v>4868</v>
      </c>
      <c r="AC661" s="3066" t="s">
        <v>4868</v>
      </c>
      <c r="AD661" s="3066" t="s">
        <v>4868</v>
      </c>
      <c r="AE661" s="3066" t="s">
        <v>3560</v>
      </c>
      <c r="AF661" s="3067">
        <v>0</v>
      </c>
      <c r="AG661" s="3066">
        <v>0</v>
      </c>
      <c r="AH661" s="3066">
        <v>0</v>
      </c>
      <c r="AI661" s="3066">
        <v>0</v>
      </c>
      <c r="AJ661" s="3066">
        <v>0</v>
      </c>
      <c r="AK661" s="3066">
        <v>0</v>
      </c>
      <c r="AL661" s="3066">
        <v>0</v>
      </c>
      <c r="AM661" s="3066">
        <v>0</v>
      </c>
      <c r="AN661" s="3066" t="s">
        <v>3560</v>
      </c>
      <c r="AP661" s="3068">
        <f t="shared" si="10"/>
        <v>0</v>
      </c>
    </row>
    <row r="662" spans="2:42" ht="27" customHeight="1">
      <c r="B662" s="3066">
        <v>670</v>
      </c>
      <c r="C662" s="3066" t="s">
        <v>5490</v>
      </c>
      <c r="D662" s="3066" t="s">
        <v>3972</v>
      </c>
      <c r="E662" s="3066" t="s">
        <v>5668</v>
      </c>
      <c r="F662" s="3066" t="s">
        <v>3917</v>
      </c>
      <c r="G662" s="3066" t="s">
        <v>1373</v>
      </c>
      <c r="H662" s="3066" t="s">
        <v>3560</v>
      </c>
      <c r="I662" s="3066" t="s">
        <v>5666</v>
      </c>
      <c r="J662" s="3066" t="s">
        <v>3560</v>
      </c>
      <c r="K662" s="3066" t="s">
        <v>3560</v>
      </c>
      <c r="L662" s="3066" t="s">
        <v>5667</v>
      </c>
      <c r="M662" s="3066" t="s">
        <v>5669</v>
      </c>
      <c r="N662" s="3066">
        <v>35.6</v>
      </c>
      <c r="O662" s="3066" t="s">
        <v>3619</v>
      </c>
      <c r="P662" s="3066" t="s">
        <v>3566</v>
      </c>
      <c r="Q662" s="3066">
        <v>1</v>
      </c>
      <c r="R662" s="3066">
        <v>3966</v>
      </c>
      <c r="S662" s="3066" t="s">
        <v>3567</v>
      </c>
      <c r="T662" s="3066">
        <v>20</v>
      </c>
      <c r="U662" s="3066">
        <v>712</v>
      </c>
      <c r="V662" s="3066" t="s">
        <v>3560</v>
      </c>
      <c r="W662" s="3066" t="s">
        <v>3568</v>
      </c>
      <c r="X662" s="3066">
        <v>2.2799999999999998</v>
      </c>
      <c r="Y662" s="3066">
        <v>974.4</v>
      </c>
      <c r="Z662" s="3066" t="s">
        <v>3568</v>
      </c>
      <c r="AA662" s="3066" t="s">
        <v>3560</v>
      </c>
      <c r="AB662" s="3066" t="s">
        <v>3584</v>
      </c>
      <c r="AC662" s="3066" t="s">
        <v>3584</v>
      </c>
      <c r="AD662" s="3066" t="s">
        <v>3584</v>
      </c>
      <c r="AE662" s="3066" t="s">
        <v>3560</v>
      </c>
      <c r="AF662" s="3067">
        <v>712</v>
      </c>
      <c r="AG662" s="3066">
        <v>0</v>
      </c>
      <c r="AH662" s="3066">
        <v>81.2</v>
      </c>
      <c r="AI662" s="3066">
        <v>0</v>
      </c>
      <c r="AJ662" s="3066">
        <v>208.64</v>
      </c>
      <c r="AK662" s="3066">
        <v>0</v>
      </c>
      <c r="AL662" s="3066">
        <v>1001.84</v>
      </c>
      <c r="AM662" s="3066">
        <v>0</v>
      </c>
      <c r="AN662" s="3066" t="s">
        <v>3560</v>
      </c>
      <c r="AP662" s="3068">
        <f t="shared" si="10"/>
        <v>20</v>
      </c>
    </row>
    <row r="663" spans="2:42" ht="27" customHeight="1">
      <c r="B663" s="3066">
        <v>671</v>
      </c>
      <c r="C663" s="3066" t="s">
        <v>5490</v>
      </c>
      <c r="D663" s="3066" t="s">
        <v>3972</v>
      </c>
      <c r="E663" s="3066" t="s">
        <v>5670</v>
      </c>
      <c r="F663" s="3066" t="s">
        <v>3917</v>
      </c>
      <c r="G663" s="3066" t="s">
        <v>1373</v>
      </c>
      <c r="H663" s="3066" t="s">
        <v>3560</v>
      </c>
      <c r="I663" s="3066" t="s">
        <v>5671</v>
      </c>
      <c r="J663" s="3066" t="s">
        <v>3560</v>
      </c>
      <c r="K663" s="3066" t="s">
        <v>3560</v>
      </c>
      <c r="L663" s="3066" t="s">
        <v>5672</v>
      </c>
      <c r="M663" s="3066" t="s">
        <v>5673</v>
      </c>
      <c r="N663" s="3066">
        <v>35.6</v>
      </c>
      <c r="O663" s="3066" t="s">
        <v>3619</v>
      </c>
      <c r="P663" s="3066" t="s">
        <v>3566</v>
      </c>
      <c r="Q663" s="3066">
        <v>1</v>
      </c>
      <c r="R663" s="3066">
        <v>3966</v>
      </c>
      <c r="S663" s="3066" t="s">
        <v>3567</v>
      </c>
      <c r="T663" s="3066">
        <v>20</v>
      </c>
      <c r="U663" s="3066">
        <v>712</v>
      </c>
      <c r="V663" s="3066" t="s">
        <v>3560</v>
      </c>
      <c r="W663" s="3066" t="s">
        <v>3568</v>
      </c>
      <c r="X663" s="3066">
        <v>2.2799999999999998</v>
      </c>
      <c r="Y663" s="3066">
        <v>974.4</v>
      </c>
      <c r="Z663" s="3066" t="s">
        <v>3568</v>
      </c>
      <c r="AA663" s="3066" t="s">
        <v>3560</v>
      </c>
      <c r="AB663" s="3066" t="s">
        <v>3584</v>
      </c>
      <c r="AC663" s="3066" t="s">
        <v>3584</v>
      </c>
      <c r="AD663" s="3066" t="s">
        <v>3584</v>
      </c>
      <c r="AE663" s="3066" t="s">
        <v>3560</v>
      </c>
      <c r="AF663" s="3067">
        <v>712</v>
      </c>
      <c r="AG663" s="3066">
        <v>712</v>
      </c>
      <c r="AH663" s="3066">
        <v>81.2</v>
      </c>
      <c r="AI663" s="3066">
        <v>81.2</v>
      </c>
      <c r="AJ663" s="3066">
        <v>192.84</v>
      </c>
      <c r="AK663" s="3066">
        <v>192.84</v>
      </c>
      <c r="AL663" s="3066">
        <v>986.04</v>
      </c>
      <c r="AM663" s="3066">
        <v>986.04</v>
      </c>
      <c r="AN663" s="3066" t="s">
        <v>3560</v>
      </c>
      <c r="AP663" s="3068">
        <f t="shared" si="10"/>
        <v>20</v>
      </c>
    </row>
    <row r="664" spans="2:42" ht="27" customHeight="1">
      <c r="B664" s="3066">
        <v>672</v>
      </c>
      <c r="C664" s="3066" t="s">
        <v>5490</v>
      </c>
      <c r="D664" s="3066" t="s">
        <v>3972</v>
      </c>
      <c r="E664" s="3066" t="s">
        <v>5674</v>
      </c>
      <c r="F664" s="3066" t="s">
        <v>3917</v>
      </c>
      <c r="G664" s="3066" t="s">
        <v>1373</v>
      </c>
      <c r="H664" s="3066" t="s">
        <v>3560</v>
      </c>
      <c r="I664" s="3066" t="s">
        <v>5675</v>
      </c>
      <c r="J664" s="3066" t="s">
        <v>3560</v>
      </c>
      <c r="K664" s="3066" t="s">
        <v>3560</v>
      </c>
      <c r="L664" s="3066" t="s">
        <v>5676</v>
      </c>
      <c r="M664" s="3066" t="s">
        <v>5677</v>
      </c>
      <c r="N664" s="3066">
        <v>35.6</v>
      </c>
      <c r="O664" s="3066" t="s">
        <v>5230</v>
      </c>
      <c r="P664" s="3066" t="s">
        <v>3566</v>
      </c>
      <c r="Q664" s="3066">
        <v>1</v>
      </c>
      <c r="R664" s="3066">
        <v>2486</v>
      </c>
      <c r="S664" s="3066" t="s">
        <v>3567</v>
      </c>
      <c r="T664" s="3066">
        <v>21</v>
      </c>
      <c r="U664" s="3066">
        <v>747.6</v>
      </c>
      <c r="V664" s="3066" t="s">
        <v>3560</v>
      </c>
      <c r="W664" s="3066" t="s">
        <v>3568</v>
      </c>
      <c r="X664" s="3066">
        <v>2.2799999999999998</v>
      </c>
      <c r="Y664" s="3066">
        <v>974.4</v>
      </c>
      <c r="Z664" s="3066" t="s">
        <v>3568</v>
      </c>
      <c r="AA664" s="3066" t="s">
        <v>3560</v>
      </c>
      <c r="AB664" s="3066" t="s">
        <v>4868</v>
      </c>
      <c r="AC664" s="3066" t="s">
        <v>4868</v>
      </c>
      <c r="AD664" s="3066" t="s">
        <v>4868</v>
      </c>
      <c r="AE664" s="3066" t="s">
        <v>3560</v>
      </c>
      <c r="AF664" s="3067">
        <v>0</v>
      </c>
      <c r="AG664" s="3066">
        <v>0</v>
      </c>
      <c r="AH664" s="3066">
        <v>0</v>
      </c>
      <c r="AI664" s="3066">
        <v>0</v>
      </c>
      <c r="AJ664" s="3066">
        <v>48.78</v>
      </c>
      <c r="AK664" s="3066">
        <v>0</v>
      </c>
      <c r="AL664" s="3066">
        <v>48.78</v>
      </c>
      <c r="AM664" s="3066">
        <v>0</v>
      </c>
      <c r="AN664" s="3066" t="s">
        <v>3560</v>
      </c>
      <c r="AP664" s="3068">
        <f t="shared" si="10"/>
        <v>0</v>
      </c>
    </row>
    <row r="665" spans="2:42" ht="27" customHeight="1">
      <c r="B665" s="3066">
        <v>673</v>
      </c>
      <c r="C665" s="3066" t="s">
        <v>5490</v>
      </c>
      <c r="D665" s="3066" t="s">
        <v>3972</v>
      </c>
      <c r="E665" s="3066" t="s">
        <v>5678</v>
      </c>
      <c r="F665" s="3066" t="s">
        <v>3917</v>
      </c>
      <c r="G665" s="3066" t="s">
        <v>3560</v>
      </c>
      <c r="H665" s="3066" t="s">
        <v>3560</v>
      </c>
      <c r="I665" s="3066" t="s">
        <v>5679</v>
      </c>
      <c r="J665" s="3066" t="s">
        <v>5679</v>
      </c>
      <c r="K665" s="3066" t="s">
        <v>3560</v>
      </c>
      <c r="L665" s="3066" t="s">
        <v>5680</v>
      </c>
      <c r="M665" s="3066" t="s">
        <v>5681</v>
      </c>
      <c r="N665" s="3066">
        <v>35.6</v>
      </c>
      <c r="O665" s="3066" t="s">
        <v>3950</v>
      </c>
      <c r="P665" s="3066" t="s">
        <v>3566</v>
      </c>
      <c r="Q665" s="3066">
        <v>1</v>
      </c>
      <c r="R665" s="3066">
        <v>4144</v>
      </c>
      <c r="S665" s="3066" t="s">
        <v>3567</v>
      </c>
      <c r="T665" s="3066">
        <v>21</v>
      </c>
      <c r="U665" s="3066">
        <v>747.6</v>
      </c>
      <c r="V665" s="3066" t="s">
        <v>3560</v>
      </c>
      <c r="W665" s="3066" t="s">
        <v>3568</v>
      </c>
      <c r="X665" s="3066">
        <v>2.2799999999999998</v>
      </c>
      <c r="Y665" s="3066">
        <v>974.4</v>
      </c>
      <c r="Z665" s="3066" t="s">
        <v>3568</v>
      </c>
      <c r="AA665" s="3066" t="s">
        <v>3560</v>
      </c>
      <c r="AB665" s="3066" t="s">
        <v>3951</v>
      </c>
      <c r="AC665" s="3066" t="s">
        <v>3951</v>
      </c>
      <c r="AD665" s="3066" t="s">
        <v>3951</v>
      </c>
      <c r="AE665" s="3066" t="s">
        <v>3560</v>
      </c>
      <c r="AF665" s="3067">
        <v>747.6</v>
      </c>
      <c r="AG665" s="3066">
        <v>747.6</v>
      </c>
      <c r="AH665" s="3066">
        <v>81.2</v>
      </c>
      <c r="AI665" s="3066">
        <v>81.2</v>
      </c>
      <c r="AJ665" s="3066">
        <v>22.36</v>
      </c>
      <c r="AK665" s="3066">
        <v>22.36</v>
      </c>
      <c r="AL665" s="3066">
        <v>851.16</v>
      </c>
      <c r="AM665" s="3066">
        <v>851.16</v>
      </c>
      <c r="AN665" s="3066" t="s">
        <v>3560</v>
      </c>
      <c r="AP665" s="3068">
        <f t="shared" si="10"/>
        <v>21</v>
      </c>
    </row>
    <row r="666" spans="2:42" ht="27" customHeight="1">
      <c r="B666" s="3066">
        <v>674</v>
      </c>
      <c r="C666" s="3066" t="s">
        <v>5490</v>
      </c>
      <c r="D666" s="3066" t="s">
        <v>3972</v>
      </c>
      <c r="E666" s="3066" t="s">
        <v>5682</v>
      </c>
      <c r="F666" s="3066" t="s">
        <v>3917</v>
      </c>
      <c r="G666" s="3066" t="s">
        <v>3560</v>
      </c>
      <c r="H666" s="3066" t="s">
        <v>3560</v>
      </c>
      <c r="I666" s="3066" t="s">
        <v>5683</v>
      </c>
      <c r="J666" s="3066" t="s">
        <v>5683</v>
      </c>
      <c r="K666" s="3066" t="s">
        <v>3560</v>
      </c>
      <c r="L666" s="3066" t="s">
        <v>5684</v>
      </c>
      <c r="M666" s="3066" t="s">
        <v>5685</v>
      </c>
      <c r="N666" s="3066">
        <v>35.6</v>
      </c>
      <c r="O666" s="3066" t="s">
        <v>5686</v>
      </c>
      <c r="P666" s="3066" t="s">
        <v>3566</v>
      </c>
      <c r="Q666" s="3066">
        <v>1</v>
      </c>
      <c r="R666" s="3066">
        <v>4144</v>
      </c>
      <c r="S666" s="3066" t="s">
        <v>3567</v>
      </c>
      <c r="T666" s="3066">
        <v>21</v>
      </c>
      <c r="U666" s="3066">
        <v>747.6</v>
      </c>
      <c r="V666" s="3066" t="s">
        <v>3560</v>
      </c>
      <c r="W666" s="3066" t="s">
        <v>3568</v>
      </c>
      <c r="X666" s="3066">
        <v>2.2799999999999998</v>
      </c>
      <c r="Y666" s="3066">
        <v>974.4</v>
      </c>
      <c r="Z666" s="3066" t="s">
        <v>3568</v>
      </c>
      <c r="AA666" s="3066" t="s">
        <v>3560</v>
      </c>
      <c r="AB666" s="3066" t="s">
        <v>5687</v>
      </c>
      <c r="AC666" s="3066" t="s">
        <v>5687</v>
      </c>
      <c r="AD666" s="3066" t="s">
        <v>5687</v>
      </c>
      <c r="AE666" s="3066" t="s">
        <v>3560</v>
      </c>
      <c r="AF666" s="3067">
        <v>747.6</v>
      </c>
      <c r="AG666" s="3066">
        <v>747.6</v>
      </c>
      <c r="AH666" s="3066">
        <v>81.2</v>
      </c>
      <c r="AI666" s="3066">
        <v>81.2</v>
      </c>
      <c r="AJ666" s="3066">
        <v>24.98</v>
      </c>
      <c r="AK666" s="3066">
        <v>24.98</v>
      </c>
      <c r="AL666" s="3066">
        <v>853.78</v>
      </c>
      <c r="AM666" s="3066">
        <v>853.78</v>
      </c>
      <c r="AN666" s="3066" t="s">
        <v>3560</v>
      </c>
      <c r="AP666" s="3068">
        <f t="shared" si="10"/>
        <v>21</v>
      </c>
    </row>
    <row r="667" spans="2:42" ht="27" customHeight="1">
      <c r="B667" s="3066">
        <v>675</v>
      </c>
      <c r="C667" s="3066" t="s">
        <v>5490</v>
      </c>
      <c r="D667" s="3066" t="s">
        <v>3972</v>
      </c>
      <c r="E667" s="3066" t="s">
        <v>5688</v>
      </c>
      <c r="F667" s="3066" t="s">
        <v>3917</v>
      </c>
      <c r="G667" s="3066" t="s">
        <v>1373</v>
      </c>
      <c r="H667" s="3066" t="s">
        <v>3560</v>
      </c>
      <c r="I667" s="3066" t="s">
        <v>5689</v>
      </c>
      <c r="J667" s="3066" t="s">
        <v>3560</v>
      </c>
      <c r="K667" s="3066" t="s">
        <v>3560</v>
      </c>
      <c r="L667" s="3066" t="s">
        <v>5690</v>
      </c>
      <c r="M667" s="3066" t="s">
        <v>5691</v>
      </c>
      <c r="N667" s="3066">
        <v>35.6</v>
      </c>
      <c r="O667" s="3066" t="s">
        <v>3619</v>
      </c>
      <c r="P667" s="3066" t="s">
        <v>3745</v>
      </c>
      <c r="Q667" s="3066">
        <v>1</v>
      </c>
      <c r="R667" s="3066">
        <v>500</v>
      </c>
      <c r="S667" s="3066" t="s">
        <v>3567</v>
      </c>
      <c r="T667" s="3066">
        <v>21</v>
      </c>
      <c r="U667" s="3066">
        <v>747.6</v>
      </c>
      <c r="V667" s="3066" t="s">
        <v>3560</v>
      </c>
      <c r="W667" s="3066" t="s">
        <v>3568</v>
      </c>
      <c r="X667" s="3066">
        <v>2.2799999999999998</v>
      </c>
      <c r="Y667" s="3066">
        <v>974.4</v>
      </c>
      <c r="Z667" s="3066" t="s">
        <v>3568</v>
      </c>
      <c r="AA667" s="3066" t="s">
        <v>3560</v>
      </c>
      <c r="AB667" s="3066" t="s">
        <v>3584</v>
      </c>
      <c r="AC667" s="3066" t="s">
        <v>3584</v>
      </c>
      <c r="AD667" s="3066" t="s">
        <v>3584</v>
      </c>
      <c r="AE667" s="3066" t="s">
        <v>3560</v>
      </c>
      <c r="AF667" s="3067">
        <v>747.6</v>
      </c>
      <c r="AG667" s="3066">
        <v>0</v>
      </c>
      <c r="AH667" s="3066">
        <v>81.2</v>
      </c>
      <c r="AI667" s="3066">
        <v>0</v>
      </c>
      <c r="AJ667" s="3066">
        <v>58.13</v>
      </c>
      <c r="AK667" s="3066">
        <v>0</v>
      </c>
      <c r="AL667" s="3066">
        <v>886.93</v>
      </c>
      <c r="AM667" s="3066">
        <v>0</v>
      </c>
      <c r="AN667" s="3066" t="s">
        <v>3560</v>
      </c>
      <c r="AP667" s="3068">
        <f t="shared" si="10"/>
        <v>21</v>
      </c>
    </row>
    <row r="668" spans="2:42" ht="27" customHeight="1">
      <c r="B668" s="3066">
        <v>676</v>
      </c>
      <c r="C668" s="3066" t="s">
        <v>5490</v>
      </c>
      <c r="D668" s="3066" t="s">
        <v>3972</v>
      </c>
      <c r="E668" s="3066" t="s">
        <v>5688</v>
      </c>
      <c r="F668" s="3066" t="s">
        <v>3917</v>
      </c>
      <c r="G668" s="3066" t="s">
        <v>3560</v>
      </c>
      <c r="H668" s="3066" t="s">
        <v>3560</v>
      </c>
      <c r="I668" s="3066" t="s">
        <v>5692</v>
      </c>
      <c r="J668" s="3066" t="s">
        <v>5692</v>
      </c>
      <c r="K668" s="3066" t="s">
        <v>3560</v>
      </c>
      <c r="L668" s="3066" t="s">
        <v>5693</v>
      </c>
      <c r="M668" s="3066" t="s">
        <v>5691</v>
      </c>
      <c r="N668" s="3066">
        <v>35.6</v>
      </c>
      <c r="O668" s="3066" t="s">
        <v>5230</v>
      </c>
      <c r="P668" s="3066" t="s">
        <v>4096</v>
      </c>
      <c r="Q668" s="3066">
        <v>1</v>
      </c>
      <c r="R668" s="3066">
        <v>2486</v>
      </c>
      <c r="S668" s="3066" t="s">
        <v>3567</v>
      </c>
      <c r="T668" s="3066">
        <v>21</v>
      </c>
      <c r="U668" s="3066">
        <v>747.6</v>
      </c>
      <c r="V668" s="3066" t="s">
        <v>3560</v>
      </c>
      <c r="W668" s="3066" t="s">
        <v>3568</v>
      </c>
      <c r="X668" s="3066">
        <v>2.2799999999999998</v>
      </c>
      <c r="Y668" s="3066">
        <v>974.4</v>
      </c>
      <c r="Z668" s="3066" t="s">
        <v>3568</v>
      </c>
      <c r="AA668" s="3066" t="s">
        <v>3560</v>
      </c>
      <c r="AB668" s="3066" t="s">
        <v>4868</v>
      </c>
      <c r="AC668" s="3066" t="s">
        <v>4868</v>
      </c>
      <c r="AD668" s="3066" t="s">
        <v>4868</v>
      </c>
      <c r="AE668" s="3066" t="s">
        <v>3560</v>
      </c>
      <c r="AF668" s="3067">
        <v>0</v>
      </c>
      <c r="AG668" s="3066">
        <v>0</v>
      </c>
      <c r="AH668" s="3066">
        <v>0</v>
      </c>
      <c r="AI668" s="3066">
        <v>0</v>
      </c>
      <c r="AJ668" s="3066">
        <v>0</v>
      </c>
      <c r="AK668" s="3066">
        <v>0</v>
      </c>
      <c r="AL668" s="3066">
        <v>0</v>
      </c>
      <c r="AM668" s="3066">
        <v>0</v>
      </c>
      <c r="AN668" s="3066" t="s">
        <v>3560</v>
      </c>
      <c r="AP668" s="3068">
        <f t="shared" si="10"/>
        <v>0</v>
      </c>
    </row>
    <row r="669" spans="2:42" ht="27" customHeight="1">
      <c r="B669" s="3066">
        <v>677</v>
      </c>
      <c r="C669" s="3066" t="s">
        <v>5490</v>
      </c>
      <c r="D669" s="3066" t="s">
        <v>3972</v>
      </c>
      <c r="E669" s="3066" t="s">
        <v>5694</v>
      </c>
      <c r="F669" s="3066" t="s">
        <v>3917</v>
      </c>
      <c r="G669" s="3066" t="s">
        <v>1373</v>
      </c>
      <c r="H669" s="3066" t="s">
        <v>3560</v>
      </c>
      <c r="I669" s="3066" t="s">
        <v>5695</v>
      </c>
      <c r="J669" s="3066" t="s">
        <v>3560</v>
      </c>
      <c r="K669" s="3066" t="s">
        <v>3560</v>
      </c>
      <c r="L669" s="3066" t="s">
        <v>5696</v>
      </c>
      <c r="M669" s="3066" t="s">
        <v>5697</v>
      </c>
      <c r="N669" s="3066">
        <v>35.6</v>
      </c>
      <c r="O669" s="3066" t="s">
        <v>5230</v>
      </c>
      <c r="P669" s="3066" t="s">
        <v>3566</v>
      </c>
      <c r="Q669" s="3066">
        <v>1</v>
      </c>
      <c r="R669" s="3066">
        <v>4144</v>
      </c>
      <c r="S669" s="3066" t="s">
        <v>3567</v>
      </c>
      <c r="T669" s="3066">
        <v>21</v>
      </c>
      <c r="U669" s="3066">
        <v>747.6</v>
      </c>
      <c r="V669" s="3066" t="s">
        <v>3560</v>
      </c>
      <c r="W669" s="3066" t="s">
        <v>3568</v>
      </c>
      <c r="X669" s="3066">
        <v>2.2799999999999998</v>
      </c>
      <c r="Y669" s="3066">
        <v>974.4</v>
      </c>
      <c r="Z669" s="3066" t="s">
        <v>3568</v>
      </c>
      <c r="AA669" s="3066" t="s">
        <v>3560</v>
      </c>
      <c r="AB669" s="3066" t="s">
        <v>4868</v>
      </c>
      <c r="AC669" s="3066" t="s">
        <v>4868</v>
      </c>
      <c r="AD669" s="3066" t="s">
        <v>4868</v>
      </c>
      <c r="AE669" s="3066" t="s">
        <v>3560</v>
      </c>
      <c r="AF669" s="3067">
        <v>747.6</v>
      </c>
      <c r="AG669" s="3066">
        <v>747.6</v>
      </c>
      <c r="AH669" s="3066">
        <v>81.2</v>
      </c>
      <c r="AI669" s="3066">
        <v>81.2</v>
      </c>
      <c r="AJ669" s="3066">
        <v>60.6</v>
      </c>
      <c r="AK669" s="3066">
        <v>60.6</v>
      </c>
      <c r="AL669" s="3066">
        <v>889.4</v>
      </c>
      <c r="AM669" s="3066">
        <v>889.4</v>
      </c>
      <c r="AN669" s="3066" t="s">
        <v>3560</v>
      </c>
      <c r="AP669" s="3068">
        <f t="shared" si="10"/>
        <v>21</v>
      </c>
    </row>
    <row r="670" spans="2:42" ht="27" customHeight="1">
      <c r="B670" s="3066">
        <v>678</v>
      </c>
      <c r="C670" s="3066" t="s">
        <v>5490</v>
      </c>
      <c r="D670" s="3066" t="s">
        <v>3972</v>
      </c>
      <c r="E670" s="3066" t="s">
        <v>5698</v>
      </c>
      <c r="F670" s="3066" t="s">
        <v>3917</v>
      </c>
      <c r="G670" s="3066" t="s">
        <v>1373</v>
      </c>
      <c r="H670" s="3066" t="s">
        <v>3560</v>
      </c>
      <c r="I670" s="3066" t="s">
        <v>5699</v>
      </c>
      <c r="J670" s="3066" t="s">
        <v>3560</v>
      </c>
      <c r="K670" s="3066" t="s">
        <v>3560</v>
      </c>
      <c r="L670" s="3066" t="s">
        <v>5700</v>
      </c>
      <c r="M670" s="3066" t="s">
        <v>5701</v>
      </c>
      <c r="N670" s="3066">
        <v>35.6</v>
      </c>
      <c r="O670" s="3066" t="s">
        <v>5230</v>
      </c>
      <c r="P670" s="3066" t="s">
        <v>3566</v>
      </c>
      <c r="Q670" s="3066">
        <v>1</v>
      </c>
      <c r="R670" s="3066">
        <v>4144</v>
      </c>
      <c r="S670" s="3066" t="s">
        <v>3567</v>
      </c>
      <c r="T670" s="3066">
        <v>21</v>
      </c>
      <c r="U670" s="3066">
        <v>747.6</v>
      </c>
      <c r="V670" s="3066" t="s">
        <v>3560</v>
      </c>
      <c r="W670" s="3066" t="s">
        <v>3568</v>
      </c>
      <c r="X670" s="3066">
        <v>2.2799999999999998</v>
      </c>
      <c r="Y670" s="3066">
        <v>974.4</v>
      </c>
      <c r="Z670" s="3066" t="s">
        <v>3568</v>
      </c>
      <c r="AA670" s="3066" t="s">
        <v>3560</v>
      </c>
      <c r="AB670" s="3066" t="s">
        <v>4868</v>
      </c>
      <c r="AC670" s="3066" t="s">
        <v>4868</v>
      </c>
      <c r="AD670" s="3066" t="s">
        <v>4868</v>
      </c>
      <c r="AE670" s="3066" t="s">
        <v>3560</v>
      </c>
      <c r="AF670" s="3067">
        <v>747.6</v>
      </c>
      <c r="AG670" s="3066">
        <v>712</v>
      </c>
      <c r="AH670" s="3066">
        <v>81.2</v>
      </c>
      <c r="AI670" s="3066">
        <v>81.2</v>
      </c>
      <c r="AJ670" s="3066">
        <v>138.53</v>
      </c>
      <c r="AK670" s="3066">
        <v>138.53</v>
      </c>
      <c r="AL670" s="3066">
        <v>967.33</v>
      </c>
      <c r="AM670" s="3066">
        <v>931.73</v>
      </c>
      <c r="AN670" s="3066" t="s">
        <v>3560</v>
      </c>
      <c r="AP670" s="3068">
        <f t="shared" si="10"/>
        <v>21</v>
      </c>
    </row>
    <row r="671" spans="2:42" ht="27" customHeight="1">
      <c r="B671" s="3066">
        <v>679</v>
      </c>
      <c r="C671" s="3066" t="s">
        <v>5490</v>
      </c>
      <c r="D671" s="3066" t="s">
        <v>3972</v>
      </c>
      <c r="E671" s="3066" t="s">
        <v>5702</v>
      </c>
      <c r="F671" s="3066" t="s">
        <v>3917</v>
      </c>
      <c r="G671" s="3066" t="s">
        <v>3560</v>
      </c>
      <c r="H671" s="3066" t="s">
        <v>3560</v>
      </c>
      <c r="I671" s="3066" t="s">
        <v>5703</v>
      </c>
      <c r="J671" s="3066" t="s">
        <v>5703</v>
      </c>
      <c r="K671" s="3066" t="s">
        <v>3560</v>
      </c>
      <c r="L671" s="3066" t="s">
        <v>5704</v>
      </c>
      <c r="M671" s="3066" t="s">
        <v>5705</v>
      </c>
      <c r="N671" s="3066">
        <v>39.700000000000003</v>
      </c>
      <c r="O671" s="3066" t="s">
        <v>4488</v>
      </c>
      <c r="P671" s="3066" t="s">
        <v>3566</v>
      </c>
      <c r="Q671" s="3066">
        <v>1</v>
      </c>
      <c r="R671" s="3066">
        <v>2650</v>
      </c>
      <c r="S671" s="3066" t="s">
        <v>3567</v>
      </c>
      <c r="T671" s="3066">
        <v>20</v>
      </c>
      <c r="U671" s="3066">
        <v>794</v>
      </c>
      <c r="V671" s="3066" t="s">
        <v>3560</v>
      </c>
      <c r="W671" s="3066" t="s">
        <v>3568</v>
      </c>
      <c r="X671" s="3066">
        <v>2.25</v>
      </c>
      <c r="Y671" s="3066">
        <v>1072.8</v>
      </c>
      <c r="Z671" s="3066" t="s">
        <v>3568</v>
      </c>
      <c r="AA671" s="3066" t="s">
        <v>3560</v>
      </c>
      <c r="AB671" s="3066" t="s">
        <v>4489</v>
      </c>
      <c r="AC671" s="3066" t="s">
        <v>4489</v>
      </c>
      <c r="AD671" s="3066" t="s">
        <v>4489</v>
      </c>
      <c r="AE671" s="3066" t="s">
        <v>3560</v>
      </c>
      <c r="AF671" s="3067">
        <v>794</v>
      </c>
      <c r="AG671" s="3066">
        <v>794</v>
      </c>
      <c r="AH671" s="3066">
        <v>89.4</v>
      </c>
      <c r="AI671" s="3066">
        <v>89.4</v>
      </c>
      <c r="AJ671" s="3066">
        <v>87.63</v>
      </c>
      <c r="AK671" s="3066">
        <v>87.63</v>
      </c>
      <c r="AL671" s="3066">
        <v>971.03</v>
      </c>
      <c r="AM671" s="3066">
        <v>971.03</v>
      </c>
      <c r="AN671" s="3066" t="s">
        <v>3560</v>
      </c>
      <c r="AP671" s="3068">
        <f t="shared" si="10"/>
        <v>20</v>
      </c>
    </row>
    <row r="672" spans="2:42" ht="27" customHeight="1">
      <c r="B672" s="3066">
        <v>680</v>
      </c>
      <c r="C672" s="3066" t="s">
        <v>5490</v>
      </c>
      <c r="D672" s="3066" t="s">
        <v>4209</v>
      </c>
      <c r="E672" s="3066" t="s">
        <v>5706</v>
      </c>
      <c r="F672" s="3066" t="s">
        <v>3917</v>
      </c>
      <c r="G672" s="3066" t="s">
        <v>1373</v>
      </c>
      <c r="H672" s="3066" t="s">
        <v>3560</v>
      </c>
      <c r="I672" s="3066" t="s">
        <v>4591</v>
      </c>
      <c r="J672" s="3066" t="s">
        <v>3560</v>
      </c>
      <c r="K672" s="3066" t="s">
        <v>3560</v>
      </c>
      <c r="L672" s="3066" t="s">
        <v>4592</v>
      </c>
      <c r="M672" s="3066" t="s">
        <v>5707</v>
      </c>
      <c r="N672" s="3066">
        <v>35.6</v>
      </c>
      <c r="O672" s="3066" t="s">
        <v>3931</v>
      </c>
      <c r="P672" s="3066" t="s">
        <v>3566</v>
      </c>
      <c r="Q672" s="3066">
        <v>1</v>
      </c>
      <c r="R672" s="3066">
        <v>478</v>
      </c>
      <c r="S672" s="3066" t="s">
        <v>3567</v>
      </c>
      <c r="T672" s="3066">
        <v>20</v>
      </c>
      <c r="U672" s="3066">
        <v>712</v>
      </c>
      <c r="V672" s="3066" t="s">
        <v>3560</v>
      </c>
      <c r="W672" s="3066" t="s">
        <v>3568</v>
      </c>
      <c r="X672" s="3066">
        <v>2.2799999999999998</v>
      </c>
      <c r="Y672" s="3066">
        <v>974.4</v>
      </c>
      <c r="Z672" s="3066" t="s">
        <v>3568</v>
      </c>
      <c r="AA672" s="3066" t="s">
        <v>3560</v>
      </c>
      <c r="AB672" s="3066" t="s">
        <v>3932</v>
      </c>
      <c r="AC672" s="3066" t="s">
        <v>3932</v>
      </c>
      <c r="AD672" s="3066" t="s">
        <v>3932</v>
      </c>
      <c r="AE672" s="3066" t="s">
        <v>3560</v>
      </c>
      <c r="AF672" s="3067">
        <v>712</v>
      </c>
      <c r="AG672" s="3066">
        <v>712</v>
      </c>
      <c r="AH672" s="3066">
        <v>81.2</v>
      </c>
      <c r="AI672" s="3066">
        <v>81.2</v>
      </c>
      <c r="AJ672" s="3066">
        <v>93.41</v>
      </c>
      <c r="AK672" s="3066">
        <v>93.41</v>
      </c>
      <c r="AL672" s="3066">
        <v>886.61</v>
      </c>
      <c r="AM672" s="3066">
        <v>886.61</v>
      </c>
      <c r="AN672" s="3066" t="s">
        <v>3560</v>
      </c>
      <c r="AP672" s="3068">
        <f t="shared" si="10"/>
        <v>20</v>
      </c>
    </row>
    <row r="673" spans="2:42" ht="27" customHeight="1">
      <c r="B673" s="3066">
        <v>681</v>
      </c>
      <c r="C673" s="3066" t="s">
        <v>5490</v>
      </c>
      <c r="D673" s="3066" t="s">
        <v>4209</v>
      </c>
      <c r="E673" s="3066" t="s">
        <v>5708</v>
      </c>
      <c r="F673" s="3066" t="s">
        <v>3917</v>
      </c>
      <c r="G673" s="3066" t="s">
        <v>1373</v>
      </c>
      <c r="H673" s="3066" t="s">
        <v>3560</v>
      </c>
      <c r="I673" s="3066" t="s">
        <v>4591</v>
      </c>
      <c r="J673" s="3066" t="s">
        <v>3560</v>
      </c>
      <c r="K673" s="3066" t="s">
        <v>3560</v>
      </c>
      <c r="L673" s="3066" t="s">
        <v>4592</v>
      </c>
      <c r="M673" s="3066" t="s">
        <v>5709</v>
      </c>
      <c r="N673" s="3066">
        <v>35.6</v>
      </c>
      <c r="O673" s="3066" t="s">
        <v>3950</v>
      </c>
      <c r="P673" s="3066" t="s">
        <v>3566</v>
      </c>
      <c r="Q673" s="3066">
        <v>1</v>
      </c>
      <c r="R673" s="3066">
        <v>2380</v>
      </c>
      <c r="S673" s="3066" t="s">
        <v>3567</v>
      </c>
      <c r="T673" s="3066">
        <v>21</v>
      </c>
      <c r="U673" s="3066">
        <v>747.6</v>
      </c>
      <c r="V673" s="3066" t="s">
        <v>3560</v>
      </c>
      <c r="W673" s="3066" t="s">
        <v>3568</v>
      </c>
      <c r="X673" s="3066">
        <v>2.2799999999999998</v>
      </c>
      <c r="Y673" s="3066">
        <v>974.4</v>
      </c>
      <c r="Z673" s="3066" t="s">
        <v>3568</v>
      </c>
      <c r="AA673" s="3066" t="s">
        <v>3560</v>
      </c>
      <c r="AB673" s="3066" t="s">
        <v>3951</v>
      </c>
      <c r="AC673" s="3066" t="s">
        <v>3951</v>
      </c>
      <c r="AD673" s="3066" t="s">
        <v>3951</v>
      </c>
      <c r="AE673" s="3066" t="s">
        <v>3560</v>
      </c>
      <c r="AF673" s="3067">
        <v>747.6</v>
      </c>
      <c r="AG673" s="3066">
        <v>747.6</v>
      </c>
      <c r="AH673" s="3066">
        <v>81.2</v>
      </c>
      <c r="AI673" s="3066">
        <v>81.2</v>
      </c>
      <c r="AJ673" s="3066">
        <v>118.06</v>
      </c>
      <c r="AK673" s="3066">
        <v>118.06</v>
      </c>
      <c r="AL673" s="3066">
        <v>946.86</v>
      </c>
      <c r="AM673" s="3066">
        <v>946.86</v>
      </c>
      <c r="AN673" s="3066" t="s">
        <v>3560</v>
      </c>
      <c r="AP673" s="3068">
        <f t="shared" si="10"/>
        <v>21</v>
      </c>
    </row>
    <row r="674" spans="2:42" ht="27" customHeight="1">
      <c r="B674" s="3066">
        <v>682</v>
      </c>
      <c r="C674" s="3066" t="s">
        <v>5490</v>
      </c>
      <c r="D674" s="3066" t="s">
        <v>4209</v>
      </c>
      <c r="E674" s="3066" t="s">
        <v>5710</v>
      </c>
      <c r="F674" s="3066" t="s">
        <v>3917</v>
      </c>
      <c r="G674" s="3066" t="s">
        <v>1373</v>
      </c>
      <c r="H674" s="3066" t="s">
        <v>3560</v>
      </c>
      <c r="I674" s="3066" t="s">
        <v>5711</v>
      </c>
      <c r="J674" s="3066" t="s">
        <v>3560</v>
      </c>
      <c r="K674" s="3066" t="s">
        <v>3560</v>
      </c>
      <c r="L674" s="3066" t="s">
        <v>5712</v>
      </c>
      <c r="M674" s="3066" t="s">
        <v>5713</v>
      </c>
      <c r="N674" s="3066">
        <v>35.6</v>
      </c>
      <c r="O674" s="3066" t="s">
        <v>5211</v>
      </c>
      <c r="P674" s="3066" t="s">
        <v>3566</v>
      </c>
      <c r="Q674" s="3066">
        <v>1</v>
      </c>
      <c r="R674" s="3066">
        <v>4144</v>
      </c>
      <c r="S674" s="3066" t="s">
        <v>3567</v>
      </c>
      <c r="T674" s="3066">
        <v>21</v>
      </c>
      <c r="U674" s="3066">
        <v>747.6</v>
      </c>
      <c r="V674" s="3066" t="s">
        <v>3560</v>
      </c>
      <c r="W674" s="3066" t="s">
        <v>3568</v>
      </c>
      <c r="X674" s="3066">
        <v>2.2799999999999998</v>
      </c>
      <c r="Y674" s="3066">
        <v>974.4</v>
      </c>
      <c r="Z674" s="3066" t="s">
        <v>3568</v>
      </c>
      <c r="AA674" s="3066" t="s">
        <v>3560</v>
      </c>
      <c r="AB674" s="3066" t="s">
        <v>3943</v>
      </c>
      <c r="AC674" s="3066" t="s">
        <v>3943</v>
      </c>
      <c r="AD674" s="3066" t="s">
        <v>3943</v>
      </c>
      <c r="AE674" s="3066" t="s">
        <v>3560</v>
      </c>
      <c r="AF674" s="3067">
        <v>712</v>
      </c>
      <c r="AG674" s="3066">
        <v>712</v>
      </c>
      <c r="AH674" s="3066">
        <v>81.2</v>
      </c>
      <c r="AI674" s="3066">
        <v>81.2</v>
      </c>
      <c r="AJ674" s="3066">
        <v>50.74</v>
      </c>
      <c r="AK674" s="3066">
        <v>50.74</v>
      </c>
      <c r="AL674" s="3066">
        <v>843.94</v>
      </c>
      <c r="AM674" s="3066">
        <v>843.94</v>
      </c>
      <c r="AN674" s="3066" t="s">
        <v>3560</v>
      </c>
      <c r="AP674" s="3068">
        <f t="shared" si="10"/>
        <v>20</v>
      </c>
    </row>
    <row r="675" spans="2:42" ht="27" customHeight="1">
      <c r="B675" s="3066">
        <v>683</v>
      </c>
      <c r="C675" s="3066" t="s">
        <v>5490</v>
      </c>
      <c r="D675" s="3066" t="s">
        <v>4209</v>
      </c>
      <c r="E675" s="3066" t="s">
        <v>5714</v>
      </c>
      <c r="F675" s="3066" t="s">
        <v>3917</v>
      </c>
      <c r="G675" s="3066" t="s">
        <v>1373</v>
      </c>
      <c r="H675" s="3066" t="s">
        <v>3560</v>
      </c>
      <c r="I675" s="3066" t="s">
        <v>5715</v>
      </c>
      <c r="J675" s="3066" t="s">
        <v>3560</v>
      </c>
      <c r="K675" s="3066" t="s">
        <v>3560</v>
      </c>
      <c r="L675" s="3066" t="s">
        <v>5716</v>
      </c>
      <c r="M675" s="3066" t="s">
        <v>5717</v>
      </c>
      <c r="N675" s="3066">
        <v>35.6</v>
      </c>
      <c r="O675" s="3066" t="s">
        <v>3619</v>
      </c>
      <c r="P675" s="3066" t="s">
        <v>3745</v>
      </c>
      <c r="Q675" s="3066">
        <v>1</v>
      </c>
      <c r="R675" s="3066">
        <v>500</v>
      </c>
      <c r="S675" s="3066" t="s">
        <v>3567</v>
      </c>
      <c r="T675" s="3066">
        <v>21</v>
      </c>
      <c r="U675" s="3066">
        <v>747.6</v>
      </c>
      <c r="V675" s="3066" t="s">
        <v>3560</v>
      </c>
      <c r="W675" s="3066" t="s">
        <v>3568</v>
      </c>
      <c r="X675" s="3066">
        <v>2.2799999999999998</v>
      </c>
      <c r="Y675" s="3066">
        <v>974.4</v>
      </c>
      <c r="Z675" s="3066" t="s">
        <v>3568</v>
      </c>
      <c r="AA675" s="3066" t="s">
        <v>3560</v>
      </c>
      <c r="AB675" s="3066" t="s">
        <v>3584</v>
      </c>
      <c r="AC675" s="3066" t="s">
        <v>3584</v>
      </c>
      <c r="AD675" s="3066" t="s">
        <v>3584</v>
      </c>
      <c r="AE675" s="3066" t="s">
        <v>3560</v>
      </c>
      <c r="AF675" s="3067">
        <v>747.6</v>
      </c>
      <c r="AG675" s="3066">
        <v>747.6</v>
      </c>
      <c r="AH675" s="3066">
        <v>81.2</v>
      </c>
      <c r="AI675" s="3066">
        <v>81.2</v>
      </c>
      <c r="AJ675" s="3066">
        <v>43.94</v>
      </c>
      <c r="AK675" s="3066">
        <v>43.94</v>
      </c>
      <c r="AL675" s="3066">
        <v>872.74</v>
      </c>
      <c r="AM675" s="3066">
        <v>872.74</v>
      </c>
      <c r="AN675" s="3066" t="s">
        <v>3560</v>
      </c>
      <c r="AP675" s="3068">
        <f t="shared" si="10"/>
        <v>21</v>
      </c>
    </row>
    <row r="676" spans="2:42" ht="27" customHeight="1">
      <c r="B676" s="3066">
        <v>684</v>
      </c>
      <c r="C676" s="3066" t="s">
        <v>5490</v>
      </c>
      <c r="D676" s="3066" t="s">
        <v>4209</v>
      </c>
      <c r="E676" s="3066" t="s">
        <v>5714</v>
      </c>
      <c r="F676" s="3066" t="s">
        <v>3917</v>
      </c>
      <c r="G676" s="3066" t="s">
        <v>3560</v>
      </c>
      <c r="H676" s="3066" t="s">
        <v>3560</v>
      </c>
      <c r="I676" s="3066" t="s">
        <v>5718</v>
      </c>
      <c r="J676" s="3066" t="s">
        <v>5718</v>
      </c>
      <c r="K676" s="3066" t="s">
        <v>3560</v>
      </c>
      <c r="L676" s="3066" t="s">
        <v>5719</v>
      </c>
      <c r="M676" s="3066" t="s">
        <v>5717</v>
      </c>
      <c r="N676" s="3066">
        <v>35.6</v>
      </c>
      <c r="O676" s="3066" t="s">
        <v>5230</v>
      </c>
      <c r="P676" s="3066" t="s">
        <v>4096</v>
      </c>
      <c r="Q676" s="3066">
        <v>1</v>
      </c>
      <c r="R676" s="3066">
        <v>4144</v>
      </c>
      <c r="S676" s="3066" t="s">
        <v>3567</v>
      </c>
      <c r="T676" s="3066">
        <v>21</v>
      </c>
      <c r="U676" s="3066">
        <v>747.6</v>
      </c>
      <c r="V676" s="3066" t="s">
        <v>3560</v>
      </c>
      <c r="W676" s="3066" t="s">
        <v>3568</v>
      </c>
      <c r="X676" s="3066">
        <v>2.2799999999999998</v>
      </c>
      <c r="Y676" s="3066">
        <v>974.4</v>
      </c>
      <c r="Z676" s="3066" t="s">
        <v>3568</v>
      </c>
      <c r="AA676" s="3066" t="s">
        <v>3560</v>
      </c>
      <c r="AB676" s="3066" t="s">
        <v>4868</v>
      </c>
      <c r="AC676" s="3066" t="s">
        <v>4868</v>
      </c>
      <c r="AD676" s="3066" t="s">
        <v>4868</v>
      </c>
      <c r="AE676" s="3066" t="s">
        <v>3560</v>
      </c>
      <c r="AF676" s="3067">
        <v>0</v>
      </c>
      <c r="AG676" s="3066">
        <v>0</v>
      </c>
      <c r="AH676" s="3066">
        <v>0</v>
      </c>
      <c r="AI676" s="3066">
        <v>0</v>
      </c>
      <c r="AJ676" s="3066">
        <v>0</v>
      </c>
      <c r="AK676" s="3066">
        <v>0</v>
      </c>
      <c r="AL676" s="3066">
        <v>0</v>
      </c>
      <c r="AM676" s="3066">
        <v>0</v>
      </c>
      <c r="AN676" s="3066" t="s">
        <v>3560</v>
      </c>
      <c r="AP676" s="3068">
        <f t="shared" si="10"/>
        <v>0</v>
      </c>
    </row>
    <row r="677" spans="2:42" ht="27" customHeight="1">
      <c r="B677" s="3066">
        <v>685</v>
      </c>
      <c r="C677" s="3066" t="s">
        <v>5490</v>
      </c>
      <c r="D677" s="3066" t="s">
        <v>4209</v>
      </c>
      <c r="E677" s="3066" t="s">
        <v>5720</v>
      </c>
      <c r="F677" s="3066" t="s">
        <v>3917</v>
      </c>
      <c r="G677" s="3066" t="s">
        <v>1373</v>
      </c>
      <c r="H677" s="3066" t="s">
        <v>3560</v>
      </c>
      <c r="I677" s="3066" t="s">
        <v>3832</v>
      </c>
      <c r="J677" s="3066" t="s">
        <v>3833</v>
      </c>
      <c r="K677" s="3066" t="s">
        <v>3560</v>
      </c>
      <c r="L677" s="3066" t="s">
        <v>3834</v>
      </c>
      <c r="M677" s="3066" t="s">
        <v>5721</v>
      </c>
      <c r="N677" s="3066">
        <v>35.6</v>
      </c>
      <c r="O677" s="3066" t="s">
        <v>3619</v>
      </c>
      <c r="P677" s="3066" t="s">
        <v>3566</v>
      </c>
      <c r="Q677" s="3066">
        <v>1</v>
      </c>
      <c r="R677" s="3066">
        <v>448.56</v>
      </c>
      <c r="S677" s="3066" t="s">
        <v>3567</v>
      </c>
      <c r="T677" s="3066">
        <v>20</v>
      </c>
      <c r="U677" s="3066">
        <v>712</v>
      </c>
      <c r="V677" s="3066" t="s">
        <v>3560</v>
      </c>
      <c r="W677" s="3066" t="s">
        <v>3568</v>
      </c>
      <c r="X677" s="3066">
        <v>2</v>
      </c>
      <c r="Y677" s="3066">
        <v>854.4</v>
      </c>
      <c r="Z677" s="3066" t="s">
        <v>3568</v>
      </c>
      <c r="AA677" s="3066" t="s">
        <v>3560</v>
      </c>
      <c r="AB677" s="3066" t="s">
        <v>3584</v>
      </c>
      <c r="AC677" s="3066" t="s">
        <v>3584</v>
      </c>
      <c r="AD677" s="3066" t="s">
        <v>3584</v>
      </c>
      <c r="AE677" s="3066" t="s">
        <v>3560</v>
      </c>
      <c r="AF677" s="3067">
        <v>712</v>
      </c>
      <c r="AG677" s="3066">
        <v>712</v>
      </c>
      <c r="AH677" s="3066">
        <v>71.2</v>
      </c>
      <c r="AI677" s="3066">
        <v>71.2</v>
      </c>
      <c r="AJ677" s="3066">
        <v>99.82</v>
      </c>
      <c r="AK677" s="3066">
        <v>99.82</v>
      </c>
      <c r="AL677" s="3066">
        <v>883.02</v>
      </c>
      <c r="AM677" s="3066">
        <v>883.02</v>
      </c>
      <c r="AN677" s="3066" t="s">
        <v>3560</v>
      </c>
      <c r="AP677" s="3068">
        <f t="shared" si="10"/>
        <v>20</v>
      </c>
    </row>
    <row r="678" spans="2:42" ht="27" customHeight="1">
      <c r="B678" s="3066">
        <v>686</v>
      </c>
      <c r="C678" s="3066" t="s">
        <v>5490</v>
      </c>
      <c r="D678" s="3066" t="s">
        <v>4209</v>
      </c>
      <c r="E678" s="3066" t="s">
        <v>5722</v>
      </c>
      <c r="F678" s="3066" t="s">
        <v>3917</v>
      </c>
      <c r="G678" s="3066" t="s">
        <v>3560</v>
      </c>
      <c r="H678" s="3066" t="s">
        <v>3560</v>
      </c>
      <c r="I678" s="3066" t="s">
        <v>5723</v>
      </c>
      <c r="J678" s="3066" t="s">
        <v>5724</v>
      </c>
      <c r="K678" s="3066" t="s">
        <v>3560</v>
      </c>
      <c r="L678" s="3066" t="s">
        <v>3560</v>
      </c>
      <c r="M678" s="3066" t="s">
        <v>5725</v>
      </c>
      <c r="N678" s="3066">
        <v>35.6</v>
      </c>
      <c r="O678" s="3066" t="s">
        <v>3919</v>
      </c>
      <c r="P678" s="3066" t="s">
        <v>3566</v>
      </c>
      <c r="Q678" s="3066">
        <v>1</v>
      </c>
      <c r="R678" s="3066">
        <v>4144</v>
      </c>
      <c r="S678" s="3066" t="s">
        <v>3567</v>
      </c>
      <c r="T678" s="3066">
        <v>20</v>
      </c>
      <c r="U678" s="3066">
        <v>712</v>
      </c>
      <c r="V678" s="3066" t="s">
        <v>3560</v>
      </c>
      <c r="W678" s="3066" t="s">
        <v>3568</v>
      </c>
      <c r="X678" s="3066">
        <v>2.2799999999999998</v>
      </c>
      <c r="Y678" s="3066">
        <v>974.4</v>
      </c>
      <c r="Z678" s="3066" t="s">
        <v>3568</v>
      </c>
      <c r="AA678" s="3066" t="s">
        <v>3560</v>
      </c>
      <c r="AB678" s="3066" t="s">
        <v>3920</v>
      </c>
      <c r="AC678" s="3066" t="s">
        <v>3920</v>
      </c>
      <c r="AD678" s="3066" t="s">
        <v>3920</v>
      </c>
      <c r="AE678" s="3066" t="s">
        <v>3560</v>
      </c>
      <c r="AF678" s="3067">
        <v>712</v>
      </c>
      <c r="AG678" s="3066">
        <v>712</v>
      </c>
      <c r="AH678" s="3066">
        <v>81.2</v>
      </c>
      <c r="AI678" s="3066">
        <v>81.2</v>
      </c>
      <c r="AJ678" s="3066">
        <v>35.450000000000003</v>
      </c>
      <c r="AK678" s="3066">
        <v>35.450000000000003</v>
      </c>
      <c r="AL678" s="3066">
        <v>828.65</v>
      </c>
      <c r="AM678" s="3066">
        <v>828.65</v>
      </c>
      <c r="AN678" s="3066" t="s">
        <v>3560</v>
      </c>
      <c r="AP678" s="3068">
        <f t="shared" si="10"/>
        <v>20</v>
      </c>
    </row>
    <row r="679" spans="2:42" ht="27" customHeight="1">
      <c r="B679" s="3066">
        <v>687</v>
      </c>
      <c r="C679" s="3066" t="s">
        <v>5490</v>
      </c>
      <c r="D679" s="3066" t="s">
        <v>4209</v>
      </c>
      <c r="E679" s="3066" t="s">
        <v>5722</v>
      </c>
      <c r="F679" s="3066" t="s">
        <v>3917</v>
      </c>
      <c r="G679" s="3066" t="s">
        <v>3560</v>
      </c>
      <c r="H679" s="3066" t="s">
        <v>3560</v>
      </c>
      <c r="I679" s="3066" t="s">
        <v>5723</v>
      </c>
      <c r="J679" s="3066" t="s">
        <v>5724</v>
      </c>
      <c r="K679" s="3066" t="s">
        <v>3560</v>
      </c>
      <c r="L679" s="3066" t="s">
        <v>3560</v>
      </c>
      <c r="M679" s="3066" t="s">
        <v>5725</v>
      </c>
      <c r="N679" s="3066">
        <v>35.6</v>
      </c>
      <c r="O679" s="3066" t="s">
        <v>5230</v>
      </c>
      <c r="P679" s="3066" t="s">
        <v>4096</v>
      </c>
      <c r="Q679" s="3066">
        <v>1</v>
      </c>
      <c r="R679" s="3066">
        <v>4144</v>
      </c>
      <c r="S679" s="3066" t="s">
        <v>3567</v>
      </c>
      <c r="T679" s="3066">
        <v>21</v>
      </c>
      <c r="U679" s="3066">
        <v>747.6</v>
      </c>
      <c r="V679" s="3066" t="s">
        <v>3560</v>
      </c>
      <c r="W679" s="3066" t="s">
        <v>3568</v>
      </c>
      <c r="X679" s="3066">
        <v>2.2799999999999998</v>
      </c>
      <c r="Y679" s="3066">
        <v>974.4</v>
      </c>
      <c r="Z679" s="3066" t="s">
        <v>3568</v>
      </c>
      <c r="AA679" s="3066" t="s">
        <v>3560</v>
      </c>
      <c r="AB679" s="3066" t="s">
        <v>4868</v>
      </c>
      <c r="AC679" s="3066" t="s">
        <v>4868</v>
      </c>
      <c r="AD679" s="3066" t="s">
        <v>4868</v>
      </c>
      <c r="AE679" s="3066" t="s">
        <v>3560</v>
      </c>
      <c r="AF679" s="3067">
        <v>712</v>
      </c>
      <c r="AG679" s="3066">
        <v>712</v>
      </c>
      <c r="AH679" s="3066">
        <v>81.2</v>
      </c>
      <c r="AI679" s="3066">
        <v>81.2</v>
      </c>
      <c r="AJ679" s="3066">
        <v>35.450000000000003</v>
      </c>
      <c r="AK679" s="3066">
        <v>35.450000000000003</v>
      </c>
      <c r="AL679" s="3066">
        <v>828.65</v>
      </c>
      <c r="AM679" s="3066">
        <v>828.65</v>
      </c>
      <c r="AN679" s="3066" t="s">
        <v>3560</v>
      </c>
      <c r="AP679" s="3068">
        <f t="shared" si="10"/>
        <v>20</v>
      </c>
    </row>
    <row r="680" spans="2:42" ht="27" customHeight="1">
      <c r="B680" s="3066">
        <v>688</v>
      </c>
      <c r="C680" s="3066" t="s">
        <v>5490</v>
      </c>
      <c r="D680" s="3066" t="s">
        <v>4209</v>
      </c>
      <c r="E680" s="3066" t="s">
        <v>5726</v>
      </c>
      <c r="F680" s="3066" t="s">
        <v>3917</v>
      </c>
      <c r="G680" s="3066" t="s">
        <v>3560</v>
      </c>
      <c r="H680" s="3066" t="s">
        <v>3560</v>
      </c>
      <c r="I680" s="3066" t="s">
        <v>5727</v>
      </c>
      <c r="J680" s="3066" t="s">
        <v>5727</v>
      </c>
      <c r="K680" s="3066" t="s">
        <v>3560</v>
      </c>
      <c r="L680" s="3066" t="s">
        <v>5728</v>
      </c>
      <c r="M680" s="3066" t="s">
        <v>5729</v>
      </c>
      <c r="N680" s="3066">
        <v>35.6</v>
      </c>
      <c r="O680" s="3066" t="s">
        <v>3931</v>
      </c>
      <c r="P680" s="3066" t="s">
        <v>3566</v>
      </c>
      <c r="Q680" s="3066">
        <v>1</v>
      </c>
      <c r="R680" s="3066">
        <v>3966</v>
      </c>
      <c r="S680" s="3066" t="s">
        <v>3567</v>
      </c>
      <c r="T680" s="3066">
        <v>20</v>
      </c>
      <c r="U680" s="3066">
        <v>712</v>
      </c>
      <c r="V680" s="3066" t="s">
        <v>3560</v>
      </c>
      <c r="W680" s="3066" t="s">
        <v>3568</v>
      </c>
      <c r="X680" s="3066">
        <v>2.2799999999999998</v>
      </c>
      <c r="Y680" s="3066">
        <v>974.4</v>
      </c>
      <c r="Z680" s="3066" t="s">
        <v>3568</v>
      </c>
      <c r="AA680" s="3066" t="s">
        <v>3560</v>
      </c>
      <c r="AB680" s="3066" t="s">
        <v>3932</v>
      </c>
      <c r="AC680" s="3066" t="s">
        <v>3932</v>
      </c>
      <c r="AD680" s="3066" t="s">
        <v>3932</v>
      </c>
      <c r="AE680" s="3066" t="s">
        <v>3560</v>
      </c>
      <c r="AF680" s="3067">
        <v>712</v>
      </c>
      <c r="AG680" s="3066">
        <v>712</v>
      </c>
      <c r="AH680" s="3066">
        <v>81.2</v>
      </c>
      <c r="AI680" s="3066">
        <v>81.2</v>
      </c>
      <c r="AJ680" s="3066">
        <v>37.82</v>
      </c>
      <c r="AK680" s="3066">
        <v>37.82</v>
      </c>
      <c r="AL680" s="3066">
        <v>831.02</v>
      </c>
      <c r="AM680" s="3066">
        <v>831.02</v>
      </c>
      <c r="AN680" s="3066" t="s">
        <v>3560</v>
      </c>
      <c r="AP680" s="3068">
        <f t="shared" si="10"/>
        <v>20</v>
      </c>
    </row>
    <row r="681" spans="2:42" ht="27" customHeight="1">
      <c r="B681" s="3066">
        <v>689</v>
      </c>
      <c r="C681" s="3066" t="s">
        <v>5490</v>
      </c>
      <c r="D681" s="3066" t="s">
        <v>4209</v>
      </c>
      <c r="E681" s="3066" t="s">
        <v>5730</v>
      </c>
      <c r="F681" s="3066" t="s">
        <v>3917</v>
      </c>
      <c r="G681" s="3066" t="s">
        <v>3560</v>
      </c>
      <c r="H681" s="3066" t="s">
        <v>3560</v>
      </c>
      <c r="I681" s="3066" t="s">
        <v>5731</v>
      </c>
      <c r="J681" s="3066" t="s">
        <v>5731</v>
      </c>
      <c r="K681" s="3066" t="s">
        <v>3560</v>
      </c>
      <c r="L681" s="3066" t="s">
        <v>5732</v>
      </c>
      <c r="M681" s="3066" t="s">
        <v>5733</v>
      </c>
      <c r="N681" s="3066">
        <v>35.6</v>
      </c>
      <c r="O681" s="3066" t="s">
        <v>3950</v>
      </c>
      <c r="P681" s="3066" t="s">
        <v>3566</v>
      </c>
      <c r="Q681" s="3066">
        <v>1</v>
      </c>
      <c r="R681" s="3066">
        <v>2486</v>
      </c>
      <c r="S681" s="3066" t="s">
        <v>3567</v>
      </c>
      <c r="T681" s="3066">
        <v>21</v>
      </c>
      <c r="U681" s="3066">
        <v>747.6</v>
      </c>
      <c r="V681" s="3066" t="s">
        <v>3560</v>
      </c>
      <c r="W681" s="3066" t="s">
        <v>3568</v>
      </c>
      <c r="X681" s="3066">
        <v>2.2799999999999998</v>
      </c>
      <c r="Y681" s="3066">
        <v>974.4</v>
      </c>
      <c r="Z681" s="3066" t="s">
        <v>3568</v>
      </c>
      <c r="AA681" s="3066" t="s">
        <v>3560</v>
      </c>
      <c r="AB681" s="3066" t="s">
        <v>3951</v>
      </c>
      <c r="AC681" s="3066" t="s">
        <v>3951</v>
      </c>
      <c r="AD681" s="3066" t="s">
        <v>3951</v>
      </c>
      <c r="AE681" s="3066" t="s">
        <v>3560</v>
      </c>
      <c r="AF681" s="3067">
        <v>747.6</v>
      </c>
      <c r="AG681" s="3066">
        <v>0</v>
      </c>
      <c r="AH681" s="3066">
        <v>81.2</v>
      </c>
      <c r="AI681" s="3066">
        <v>0</v>
      </c>
      <c r="AJ681" s="3066">
        <v>0</v>
      </c>
      <c r="AK681" s="3066">
        <v>0</v>
      </c>
      <c r="AL681" s="3066">
        <v>828.8</v>
      </c>
      <c r="AM681" s="3066">
        <v>0</v>
      </c>
      <c r="AN681" s="3066" t="s">
        <v>3560</v>
      </c>
      <c r="AP681" s="3068">
        <f t="shared" si="10"/>
        <v>21</v>
      </c>
    </row>
    <row r="682" spans="2:42" ht="27" customHeight="1">
      <c r="B682" s="3066">
        <v>690</v>
      </c>
      <c r="C682" s="3066" t="s">
        <v>5490</v>
      </c>
      <c r="D682" s="3066" t="s">
        <v>4209</v>
      </c>
      <c r="E682" s="3066" t="s">
        <v>5734</v>
      </c>
      <c r="F682" s="3066" t="s">
        <v>3917</v>
      </c>
      <c r="G682" s="3066" t="s">
        <v>1373</v>
      </c>
      <c r="H682" s="3066" t="s">
        <v>3560</v>
      </c>
      <c r="I682" s="3066" t="s">
        <v>5735</v>
      </c>
      <c r="J682" s="3066" t="s">
        <v>3560</v>
      </c>
      <c r="K682" s="3066" t="s">
        <v>3560</v>
      </c>
      <c r="L682" s="3066" t="s">
        <v>5736</v>
      </c>
      <c r="M682" s="3066" t="s">
        <v>5737</v>
      </c>
      <c r="N682" s="3066">
        <v>35.6</v>
      </c>
      <c r="O682" s="3066" t="s">
        <v>5230</v>
      </c>
      <c r="P682" s="3066" t="s">
        <v>3566</v>
      </c>
      <c r="Q682" s="3066">
        <v>1</v>
      </c>
      <c r="R682" s="3066">
        <v>4144</v>
      </c>
      <c r="S682" s="3066" t="s">
        <v>3567</v>
      </c>
      <c r="T682" s="3066">
        <v>21</v>
      </c>
      <c r="U682" s="3066">
        <v>747.6</v>
      </c>
      <c r="V682" s="3066" t="s">
        <v>3560</v>
      </c>
      <c r="W682" s="3066" t="s">
        <v>3568</v>
      </c>
      <c r="X682" s="3066">
        <v>2.2799999999999998</v>
      </c>
      <c r="Y682" s="3066">
        <v>974.4</v>
      </c>
      <c r="Z682" s="3066" t="s">
        <v>3568</v>
      </c>
      <c r="AA682" s="3066" t="s">
        <v>3560</v>
      </c>
      <c r="AB682" s="3066" t="s">
        <v>4868</v>
      </c>
      <c r="AC682" s="3066" t="s">
        <v>4868</v>
      </c>
      <c r="AD682" s="3066" t="s">
        <v>4868</v>
      </c>
      <c r="AE682" s="3066" t="s">
        <v>3560</v>
      </c>
      <c r="AF682" s="3067">
        <v>747.6</v>
      </c>
      <c r="AG682" s="3066">
        <v>712</v>
      </c>
      <c r="AH682" s="3066">
        <v>81.2</v>
      </c>
      <c r="AI682" s="3066">
        <v>81.2</v>
      </c>
      <c r="AJ682" s="3066">
        <v>151.78</v>
      </c>
      <c r="AK682" s="3066">
        <v>151.78</v>
      </c>
      <c r="AL682" s="3066">
        <v>980.58</v>
      </c>
      <c r="AM682" s="3066">
        <v>944.98</v>
      </c>
      <c r="AN682" s="3066" t="s">
        <v>3560</v>
      </c>
      <c r="AP682" s="3068">
        <f t="shared" si="10"/>
        <v>21</v>
      </c>
    </row>
    <row r="683" spans="2:42" ht="27" customHeight="1">
      <c r="B683" s="3066">
        <v>691</v>
      </c>
      <c r="C683" s="3066" t="s">
        <v>5490</v>
      </c>
      <c r="D683" s="3066" t="s">
        <v>4209</v>
      </c>
      <c r="E683" s="3066" t="s">
        <v>5738</v>
      </c>
      <c r="F683" s="3066" t="s">
        <v>3917</v>
      </c>
      <c r="G683" s="3066" t="s">
        <v>1373</v>
      </c>
      <c r="H683" s="3066" t="s">
        <v>3560</v>
      </c>
      <c r="I683" s="3066" t="s">
        <v>3657</v>
      </c>
      <c r="J683" s="3066" t="s">
        <v>3658</v>
      </c>
      <c r="K683" s="3066" t="s">
        <v>3560</v>
      </c>
      <c r="L683" s="3066" t="s">
        <v>3659</v>
      </c>
      <c r="M683" s="3066" t="s">
        <v>5739</v>
      </c>
      <c r="N683" s="3066">
        <v>35.6</v>
      </c>
      <c r="O683" s="3066" t="s">
        <v>3931</v>
      </c>
      <c r="P683" s="3066" t="s">
        <v>3566</v>
      </c>
      <c r="Q683" s="3066">
        <v>1</v>
      </c>
      <c r="R683" s="3066">
        <v>2349.6</v>
      </c>
      <c r="S683" s="3066" t="s">
        <v>3567</v>
      </c>
      <c r="T683" s="3066">
        <v>20</v>
      </c>
      <c r="U683" s="3066">
        <v>712</v>
      </c>
      <c r="V683" s="3066" t="s">
        <v>3560</v>
      </c>
      <c r="W683" s="3066" t="s">
        <v>3568</v>
      </c>
      <c r="X683" s="3066">
        <v>2</v>
      </c>
      <c r="Y683" s="3066">
        <v>854.4</v>
      </c>
      <c r="Z683" s="3066" t="s">
        <v>3568</v>
      </c>
      <c r="AA683" s="3066" t="s">
        <v>3560</v>
      </c>
      <c r="AB683" s="3066" t="s">
        <v>3932</v>
      </c>
      <c r="AC683" s="3066" t="s">
        <v>3932</v>
      </c>
      <c r="AD683" s="3066" t="s">
        <v>3932</v>
      </c>
      <c r="AE683" s="3066" t="s">
        <v>3560</v>
      </c>
      <c r="AF683" s="3067">
        <v>712</v>
      </c>
      <c r="AG683" s="3066">
        <v>712</v>
      </c>
      <c r="AH683" s="3066">
        <v>71.2</v>
      </c>
      <c r="AI683" s="3066">
        <v>71.2</v>
      </c>
      <c r="AJ683" s="3066">
        <v>180.1</v>
      </c>
      <c r="AK683" s="3066">
        <v>180.1</v>
      </c>
      <c r="AL683" s="3066">
        <v>963.3</v>
      </c>
      <c r="AM683" s="3066">
        <v>963.3</v>
      </c>
      <c r="AN683" s="3066" t="s">
        <v>3560</v>
      </c>
      <c r="AP683" s="3068">
        <f t="shared" si="10"/>
        <v>20</v>
      </c>
    </row>
    <row r="684" spans="2:42" ht="27" customHeight="1">
      <c r="B684" s="3066">
        <v>692</v>
      </c>
      <c r="C684" s="3066" t="s">
        <v>5490</v>
      </c>
      <c r="D684" s="3066" t="s">
        <v>4209</v>
      </c>
      <c r="E684" s="3066" t="s">
        <v>5740</v>
      </c>
      <c r="F684" s="3066" t="s">
        <v>3917</v>
      </c>
      <c r="G684" s="3066" t="s">
        <v>1373</v>
      </c>
      <c r="H684" s="3066" t="s">
        <v>3560</v>
      </c>
      <c r="I684" s="3066" t="s">
        <v>5741</v>
      </c>
      <c r="J684" s="3066" t="s">
        <v>3560</v>
      </c>
      <c r="K684" s="3066" t="s">
        <v>3560</v>
      </c>
      <c r="L684" s="3066" t="s">
        <v>5742</v>
      </c>
      <c r="M684" s="3066" t="s">
        <v>5743</v>
      </c>
      <c r="N684" s="3066">
        <v>35.6</v>
      </c>
      <c r="O684" s="3066" t="s">
        <v>3619</v>
      </c>
      <c r="P684" s="3066" t="s">
        <v>3566</v>
      </c>
      <c r="Q684" s="3066">
        <v>1</v>
      </c>
      <c r="R684" s="3066">
        <v>692.5</v>
      </c>
      <c r="S684" s="3066" t="s">
        <v>3567</v>
      </c>
      <c r="T684" s="3066">
        <v>21</v>
      </c>
      <c r="U684" s="3066">
        <v>747.6</v>
      </c>
      <c r="V684" s="3066" t="s">
        <v>3560</v>
      </c>
      <c r="W684" s="3066" t="s">
        <v>3568</v>
      </c>
      <c r="X684" s="3066">
        <v>2.2799999999999998</v>
      </c>
      <c r="Y684" s="3066">
        <v>974.4</v>
      </c>
      <c r="Z684" s="3066" t="s">
        <v>3568</v>
      </c>
      <c r="AA684" s="3066" t="s">
        <v>3560</v>
      </c>
      <c r="AB684" s="3066" t="s">
        <v>3584</v>
      </c>
      <c r="AC684" s="3066" t="s">
        <v>3584</v>
      </c>
      <c r="AD684" s="3066" t="s">
        <v>3584</v>
      </c>
      <c r="AE684" s="3066" t="s">
        <v>3560</v>
      </c>
      <c r="AF684" s="3067">
        <v>747.6</v>
      </c>
      <c r="AG684" s="3066">
        <v>747.6</v>
      </c>
      <c r="AH684" s="3066">
        <v>81.2</v>
      </c>
      <c r="AI684" s="3066">
        <v>81.2</v>
      </c>
      <c r="AJ684" s="3066">
        <v>49.72</v>
      </c>
      <c r="AK684" s="3066">
        <v>49.72</v>
      </c>
      <c r="AL684" s="3066">
        <v>878.52</v>
      </c>
      <c r="AM684" s="3066">
        <v>878.52</v>
      </c>
      <c r="AN684" s="3066" t="s">
        <v>3560</v>
      </c>
      <c r="AP684" s="3068">
        <f t="shared" si="10"/>
        <v>21</v>
      </c>
    </row>
    <row r="685" spans="2:42" ht="27" customHeight="1">
      <c r="B685" s="3066">
        <v>693</v>
      </c>
      <c r="C685" s="3066" t="s">
        <v>5490</v>
      </c>
      <c r="D685" s="3066" t="s">
        <v>4209</v>
      </c>
      <c r="E685" s="3066" t="s">
        <v>5744</v>
      </c>
      <c r="F685" s="3066" t="s">
        <v>3917</v>
      </c>
      <c r="G685" s="3066" t="s">
        <v>1373</v>
      </c>
      <c r="H685" s="3066" t="s">
        <v>3560</v>
      </c>
      <c r="I685" s="3066" t="s">
        <v>5745</v>
      </c>
      <c r="J685" s="3066" t="s">
        <v>3560</v>
      </c>
      <c r="K685" s="3066" t="s">
        <v>3560</v>
      </c>
      <c r="L685" s="3066" t="s">
        <v>5746</v>
      </c>
      <c r="M685" s="3066" t="s">
        <v>5747</v>
      </c>
      <c r="N685" s="3066">
        <v>39.700000000000003</v>
      </c>
      <c r="O685" s="3066" t="s">
        <v>5283</v>
      </c>
      <c r="P685" s="3066" t="s">
        <v>3940</v>
      </c>
      <c r="Q685" s="3066">
        <v>1</v>
      </c>
      <c r="R685" s="3066">
        <v>4616</v>
      </c>
      <c r="S685" s="3066" t="s">
        <v>3567</v>
      </c>
      <c r="T685" s="3066">
        <v>20</v>
      </c>
      <c r="U685" s="3066">
        <v>794</v>
      </c>
      <c r="V685" s="3066" t="s">
        <v>3560</v>
      </c>
      <c r="W685" s="3066" t="s">
        <v>3568</v>
      </c>
      <c r="X685" s="3066">
        <v>2.25</v>
      </c>
      <c r="Y685" s="3066">
        <v>1072.8</v>
      </c>
      <c r="Z685" s="3066" t="s">
        <v>3568</v>
      </c>
      <c r="AA685" s="3066" t="s">
        <v>3560</v>
      </c>
      <c r="AB685" s="3066" t="s">
        <v>5284</v>
      </c>
      <c r="AC685" s="3066" t="s">
        <v>5284</v>
      </c>
      <c r="AD685" s="3066" t="s">
        <v>5284</v>
      </c>
      <c r="AE685" s="3066" t="s">
        <v>3560</v>
      </c>
      <c r="AF685" s="3067">
        <v>833.7</v>
      </c>
      <c r="AG685" s="3066">
        <v>833.7</v>
      </c>
      <c r="AH685" s="3066">
        <v>89.4</v>
      </c>
      <c r="AI685" s="3066">
        <v>89.4</v>
      </c>
      <c r="AJ685" s="3066">
        <v>43.85</v>
      </c>
      <c r="AK685" s="3066">
        <v>43.85</v>
      </c>
      <c r="AL685" s="3066">
        <v>966.95</v>
      </c>
      <c r="AM685" s="3066">
        <v>966.95</v>
      </c>
      <c r="AN685" s="3066" t="s">
        <v>3560</v>
      </c>
      <c r="AP685" s="3068">
        <f t="shared" si="10"/>
        <v>21</v>
      </c>
    </row>
    <row r="686" spans="2:42" ht="27" customHeight="1">
      <c r="B686" s="3066">
        <v>694</v>
      </c>
      <c r="C686" s="3066" t="s">
        <v>5490</v>
      </c>
      <c r="D686" s="3066" t="s">
        <v>4209</v>
      </c>
      <c r="E686" s="3066" t="s">
        <v>5744</v>
      </c>
      <c r="F686" s="3066" t="s">
        <v>3917</v>
      </c>
      <c r="G686" s="3066" t="s">
        <v>1373</v>
      </c>
      <c r="H686" s="3066" t="s">
        <v>3560</v>
      </c>
      <c r="I686" s="3066" t="s">
        <v>5745</v>
      </c>
      <c r="J686" s="3066" t="s">
        <v>3560</v>
      </c>
      <c r="K686" s="3066" t="s">
        <v>3560</v>
      </c>
      <c r="L686" s="3066" t="s">
        <v>5746</v>
      </c>
      <c r="M686" s="3066" t="s">
        <v>5747</v>
      </c>
      <c r="N686" s="3066">
        <v>39.700000000000003</v>
      </c>
      <c r="O686" s="3066" t="s">
        <v>5230</v>
      </c>
      <c r="P686" s="3066" t="s">
        <v>4096</v>
      </c>
      <c r="Q686" s="3066">
        <v>1</v>
      </c>
      <c r="R686" s="3066">
        <v>4616</v>
      </c>
      <c r="S686" s="3066" t="s">
        <v>3567</v>
      </c>
      <c r="T686" s="3066">
        <v>21</v>
      </c>
      <c r="U686" s="3066">
        <v>833.7</v>
      </c>
      <c r="V686" s="3066" t="s">
        <v>3560</v>
      </c>
      <c r="W686" s="3066" t="s">
        <v>3568</v>
      </c>
      <c r="X686" s="3066">
        <v>2.25</v>
      </c>
      <c r="Y686" s="3066">
        <v>1072.8</v>
      </c>
      <c r="Z686" s="3066" t="s">
        <v>3568</v>
      </c>
      <c r="AA686" s="3066" t="s">
        <v>3560</v>
      </c>
      <c r="AB686" s="3066" t="s">
        <v>4868</v>
      </c>
      <c r="AC686" s="3066" t="s">
        <v>4868</v>
      </c>
      <c r="AD686" s="3066" t="s">
        <v>4868</v>
      </c>
      <c r="AE686" s="3066" t="s">
        <v>3560</v>
      </c>
      <c r="AF686" s="3067">
        <v>833.7</v>
      </c>
      <c r="AG686" s="3066">
        <v>833.7</v>
      </c>
      <c r="AH686" s="3066">
        <v>89.4</v>
      </c>
      <c r="AI686" s="3066">
        <v>89.4</v>
      </c>
      <c r="AJ686" s="3066">
        <v>43.85</v>
      </c>
      <c r="AK686" s="3066">
        <v>43.85</v>
      </c>
      <c r="AL686" s="3066">
        <v>966.95</v>
      </c>
      <c r="AM686" s="3066">
        <v>966.95</v>
      </c>
      <c r="AN686" s="3066" t="s">
        <v>3560</v>
      </c>
      <c r="AP686" s="3068">
        <f t="shared" si="10"/>
        <v>21</v>
      </c>
    </row>
    <row r="687" spans="2:42" ht="27" customHeight="1">
      <c r="B687" s="3066">
        <v>695</v>
      </c>
      <c r="C687" s="3066" t="s">
        <v>5748</v>
      </c>
      <c r="D687" s="3066" t="s">
        <v>4003</v>
      </c>
      <c r="E687" s="3066" t="s">
        <v>5749</v>
      </c>
      <c r="F687" s="3066" t="s">
        <v>3917</v>
      </c>
      <c r="G687" s="3066" t="s">
        <v>1373</v>
      </c>
      <c r="H687" s="3066" t="s">
        <v>3560</v>
      </c>
      <c r="I687" s="3066" t="s">
        <v>5750</v>
      </c>
      <c r="J687" s="3066" t="s">
        <v>3560</v>
      </c>
      <c r="K687" s="3066" t="s">
        <v>3560</v>
      </c>
      <c r="L687" s="3066" t="s">
        <v>5751</v>
      </c>
      <c r="M687" s="3066" t="s">
        <v>5752</v>
      </c>
      <c r="N687" s="3066">
        <v>12</v>
      </c>
      <c r="O687" s="3066" t="s">
        <v>3608</v>
      </c>
      <c r="P687" s="3066" t="s">
        <v>3566</v>
      </c>
      <c r="Q687" s="3066">
        <v>1</v>
      </c>
      <c r="R687" s="3066">
        <v>648</v>
      </c>
      <c r="S687" s="3066" t="s">
        <v>3567</v>
      </c>
      <c r="T687" s="3066">
        <v>20</v>
      </c>
      <c r="U687" s="3066">
        <v>240</v>
      </c>
      <c r="V687" s="3066" t="s">
        <v>3560</v>
      </c>
      <c r="W687" s="3066" t="s">
        <v>3568</v>
      </c>
      <c r="X687" s="3066">
        <v>2.83</v>
      </c>
      <c r="Y687" s="3066">
        <v>408</v>
      </c>
      <c r="Z687" s="3066" t="s">
        <v>3568</v>
      </c>
      <c r="AA687" s="3066" t="s">
        <v>3560</v>
      </c>
      <c r="AB687" s="3066" t="s">
        <v>3609</v>
      </c>
      <c r="AC687" s="3066" t="s">
        <v>3609</v>
      </c>
      <c r="AD687" s="3066" t="s">
        <v>3609</v>
      </c>
      <c r="AE687" s="3066" t="s">
        <v>3560</v>
      </c>
      <c r="AF687" s="3067">
        <v>240</v>
      </c>
      <c r="AG687" s="3066">
        <v>0</v>
      </c>
      <c r="AH687" s="3066">
        <v>34</v>
      </c>
      <c r="AI687" s="3066">
        <v>0</v>
      </c>
      <c r="AJ687" s="3066">
        <v>0</v>
      </c>
      <c r="AK687" s="3066">
        <v>0</v>
      </c>
      <c r="AL687" s="3066">
        <v>274</v>
      </c>
      <c r="AM687" s="3066">
        <v>0</v>
      </c>
      <c r="AN687" s="3066" t="s">
        <v>3560</v>
      </c>
      <c r="AP687" s="3068">
        <f t="shared" si="10"/>
        <v>20</v>
      </c>
    </row>
    <row r="688" spans="2:42" ht="27" customHeight="1">
      <c r="B688" s="3066">
        <v>696</v>
      </c>
      <c r="C688" s="3066" t="s">
        <v>5748</v>
      </c>
      <c r="D688" s="3066" t="s">
        <v>4019</v>
      </c>
      <c r="E688" s="3066" t="s">
        <v>5753</v>
      </c>
      <c r="F688" s="3066" t="s">
        <v>3917</v>
      </c>
      <c r="G688" s="3066" t="s">
        <v>1373</v>
      </c>
      <c r="H688" s="3066" t="s">
        <v>3560</v>
      </c>
      <c r="I688" s="3066" t="s">
        <v>5754</v>
      </c>
      <c r="J688" s="3066" t="s">
        <v>3560</v>
      </c>
      <c r="K688" s="3066" t="s">
        <v>3560</v>
      </c>
      <c r="L688" s="3066" t="s">
        <v>5755</v>
      </c>
      <c r="M688" s="3066" t="s">
        <v>5756</v>
      </c>
      <c r="N688" s="3066">
        <v>35.6</v>
      </c>
      <c r="O688" s="3066" t="s">
        <v>3619</v>
      </c>
      <c r="P688" s="3066" t="s">
        <v>3566</v>
      </c>
      <c r="Q688" s="3066">
        <v>1</v>
      </c>
      <c r="R688" s="3066">
        <v>1281</v>
      </c>
      <c r="S688" s="3066" t="s">
        <v>3567</v>
      </c>
      <c r="T688" s="3066">
        <v>21</v>
      </c>
      <c r="U688" s="3066">
        <v>747.6</v>
      </c>
      <c r="V688" s="3066" t="s">
        <v>3560</v>
      </c>
      <c r="W688" s="3066" t="s">
        <v>3568</v>
      </c>
      <c r="X688" s="3066">
        <v>2.2799999999999998</v>
      </c>
      <c r="Y688" s="3066">
        <v>974.4</v>
      </c>
      <c r="Z688" s="3066" t="s">
        <v>3568</v>
      </c>
      <c r="AA688" s="3066" t="s">
        <v>3560</v>
      </c>
      <c r="AB688" s="3066" t="s">
        <v>3584</v>
      </c>
      <c r="AC688" s="3066" t="s">
        <v>3584</v>
      </c>
      <c r="AD688" s="3066" t="s">
        <v>3584</v>
      </c>
      <c r="AE688" s="3066" t="s">
        <v>3560</v>
      </c>
      <c r="AF688" s="3067">
        <v>747.6</v>
      </c>
      <c r="AG688" s="3066">
        <v>0</v>
      </c>
      <c r="AH688" s="3066">
        <v>81.2</v>
      </c>
      <c r="AI688" s="3066">
        <v>0</v>
      </c>
      <c r="AJ688" s="3066">
        <v>97.31</v>
      </c>
      <c r="AK688" s="3066">
        <v>0</v>
      </c>
      <c r="AL688" s="3066">
        <v>926.11</v>
      </c>
      <c r="AM688" s="3066">
        <v>0</v>
      </c>
      <c r="AN688" s="3066" t="s">
        <v>3560</v>
      </c>
      <c r="AP688" s="3068">
        <f t="shared" si="10"/>
        <v>21</v>
      </c>
    </row>
    <row r="689" spans="2:42" ht="27" customHeight="1">
      <c r="B689" s="3066">
        <v>697</v>
      </c>
      <c r="C689" s="3066" t="s">
        <v>5748</v>
      </c>
      <c r="D689" s="3066" t="s">
        <v>4019</v>
      </c>
      <c r="E689" s="3066" t="s">
        <v>5757</v>
      </c>
      <c r="F689" s="3066" t="s">
        <v>3917</v>
      </c>
      <c r="G689" s="3066" t="s">
        <v>1373</v>
      </c>
      <c r="H689" s="3066" t="s">
        <v>3560</v>
      </c>
      <c r="I689" s="3066" t="s">
        <v>5758</v>
      </c>
      <c r="J689" s="3066" t="s">
        <v>5759</v>
      </c>
      <c r="K689" s="3066" t="s">
        <v>3560</v>
      </c>
      <c r="L689" s="3066" t="s">
        <v>5760</v>
      </c>
      <c r="M689" s="3066" t="s">
        <v>5761</v>
      </c>
      <c r="N689" s="3066">
        <v>35.6</v>
      </c>
      <c r="O689" s="3066" t="s">
        <v>3785</v>
      </c>
      <c r="P689" s="3066" t="s">
        <v>3566</v>
      </c>
      <c r="Q689" s="3066">
        <v>1</v>
      </c>
      <c r="R689" s="3066">
        <v>2349.6</v>
      </c>
      <c r="S689" s="3066" t="s">
        <v>3567</v>
      </c>
      <c r="T689" s="3066">
        <v>20</v>
      </c>
      <c r="U689" s="3066">
        <v>712</v>
      </c>
      <c r="V689" s="3066" t="s">
        <v>3560</v>
      </c>
      <c r="W689" s="3066" t="s">
        <v>3568</v>
      </c>
      <c r="X689" s="3066">
        <v>2</v>
      </c>
      <c r="Y689" s="3066">
        <v>854.4</v>
      </c>
      <c r="Z689" s="3066" t="s">
        <v>3568</v>
      </c>
      <c r="AA689" s="3066" t="s">
        <v>3560</v>
      </c>
      <c r="AB689" s="3066" t="s">
        <v>3591</v>
      </c>
      <c r="AC689" s="3066" t="s">
        <v>3591</v>
      </c>
      <c r="AD689" s="3066" t="s">
        <v>3591</v>
      </c>
      <c r="AE689" s="3066" t="s">
        <v>3560</v>
      </c>
      <c r="AF689" s="3067">
        <v>712</v>
      </c>
      <c r="AG689" s="3066">
        <v>0</v>
      </c>
      <c r="AH689" s="3066">
        <v>71.2</v>
      </c>
      <c r="AI689" s="3066">
        <v>0</v>
      </c>
      <c r="AJ689" s="3066">
        <v>47.25</v>
      </c>
      <c r="AK689" s="3066">
        <v>0</v>
      </c>
      <c r="AL689" s="3066">
        <v>830.45</v>
      </c>
      <c r="AM689" s="3066">
        <v>0</v>
      </c>
      <c r="AN689" s="3066" t="s">
        <v>3560</v>
      </c>
      <c r="AP689" s="3068">
        <f t="shared" si="10"/>
        <v>20</v>
      </c>
    </row>
    <row r="690" spans="2:42" ht="27" customHeight="1">
      <c r="B690" s="3066">
        <v>698</v>
      </c>
      <c r="C690" s="3066" t="s">
        <v>5748</v>
      </c>
      <c r="D690" s="3066" t="s">
        <v>4019</v>
      </c>
      <c r="E690" s="3066" t="s">
        <v>5762</v>
      </c>
      <c r="F690" s="3066" t="s">
        <v>3917</v>
      </c>
      <c r="G690" s="3066" t="s">
        <v>1373</v>
      </c>
      <c r="H690" s="3066" t="s">
        <v>3560</v>
      </c>
      <c r="I690" s="3066" t="s">
        <v>5763</v>
      </c>
      <c r="J690" s="3066" t="s">
        <v>3560</v>
      </c>
      <c r="K690" s="3066" t="s">
        <v>3560</v>
      </c>
      <c r="L690" s="3066" t="s">
        <v>5755</v>
      </c>
      <c r="M690" s="3066" t="s">
        <v>5764</v>
      </c>
      <c r="N690" s="3066">
        <v>35.6</v>
      </c>
      <c r="O690" s="3066" t="s">
        <v>4488</v>
      </c>
      <c r="P690" s="3066" t="s">
        <v>3566</v>
      </c>
      <c r="Q690" s="3066">
        <v>1</v>
      </c>
      <c r="R690" s="3066">
        <v>3966</v>
      </c>
      <c r="S690" s="3066" t="s">
        <v>3567</v>
      </c>
      <c r="T690" s="3066">
        <v>20</v>
      </c>
      <c r="U690" s="3066">
        <v>712</v>
      </c>
      <c r="V690" s="3066" t="s">
        <v>3560</v>
      </c>
      <c r="W690" s="3066" t="s">
        <v>3568</v>
      </c>
      <c r="X690" s="3066">
        <v>2.2799999999999998</v>
      </c>
      <c r="Y690" s="3066">
        <v>974.4</v>
      </c>
      <c r="Z690" s="3066" t="s">
        <v>3568</v>
      </c>
      <c r="AA690" s="3066" t="s">
        <v>3560</v>
      </c>
      <c r="AB690" s="3066" t="s">
        <v>4489</v>
      </c>
      <c r="AC690" s="3066" t="s">
        <v>4489</v>
      </c>
      <c r="AD690" s="3066" t="s">
        <v>4489</v>
      </c>
      <c r="AE690" s="3066" t="s">
        <v>3560</v>
      </c>
      <c r="AF690" s="3067">
        <v>712</v>
      </c>
      <c r="AG690" s="3066">
        <v>0</v>
      </c>
      <c r="AH690" s="3066">
        <v>81.2</v>
      </c>
      <c r="AI690" s="3066">
        <v>0</v>
      </c>
      <c r="AJ690" s="3066">
        <v>99.43</v>
      </c>
      <c r="AK690" s="3066">
        <v>0</v>
      </c>
      <c r="AL690" s="3066">
        <v>892.63</v>
      </c>
      <c r="AM690" s="3066">
        <v>0</v>
      </c>
      <c r="AN690" s="3066" t="s">
        <v>3560</v>
      </c>
      <c r="AP690" s="3068">
        <f t="shared" si="10"/>
        <v>20</v>
      </c>
    </row>
    <row r="691" spans="2:42" ht="27" customHeight="1">
      <c r="B691" s="3066">
        <v>699</v>
      </c>
      <c r="C691" s="3066" t="s">
        <v>5748</v>
      </c>
      <c r="D691" s="3066" t="s">
        <v>4019</v>
      </c>
      <c r="E691" s="3066" t="s">
        <v>5765</v>
      </c>
      <c r="F691" s="3066" t="s">
        <v>3917</v>
      </c>
      <c r="G691" s="3066" t="s">
        <v>3560</v>
      </c>
      <c r="H691" s="3066" t="s">
        <v>3560</v>
      </c>
      <c r="I691" s="3066" t="s">
        <v>5766</v>
      </c>
      <c r="J691" s="3066" t="s">
        <v>5766</v>
      </c>
      <c r="K691" s="3066" t="s">
        <v>3560</v>
      </c>
      <c r="L691" s="3066" t="s">
        <v>5767</v>
      </c>
      <c r="M691" s="3066" t="s">
        <v>5768</v>
      </c>
      <c r="N691" s="3066">
        <v>35.6</v>
      </c>
      <c r="O691" s="3066" t="s">
        <v>4488</v>
      </c>
      <c r="P691" s="3066" t="s">
        <v>3566</v>
      </c>
      <c r="Q691" s="3066">
        <v>1</v>
      </c>
      <c r="R691" s="3066">
        <v>3966</v>
      </c>
      <c r="S691" s="3066" t="s">
        <v>3567</v>
      </c>
      <c r="T691" s="3066">
        <v>20</v>
      </c>
      <c r="U691" s="3066">
        <v>712</v>
      </c>
      <c r="V691" s="3066" t="s">
        <v>3560</v>
      </c>
      <c r="W691" s="3066" t="s">
        <v>3568</v>
      </c>
      <c r="X691" s="3066">
        <v>2.2799999999999998</v>
      </c>
      <c r="Y691" s="3066">
        <v>974.4</v>
      </c>
      <c r="Z691" s="3066" t="s">
        <v>3568</v>
      </c>
      <c r="AA691" s="3066" t="s">
        <v>3560</v>
      </c>
      <c r="AB691" s="3066" t="s">
        <v>4489</v>
      </c>
      <c r="AC691" s="3066" t="s">
        <v>4489</v>
      </c>
      <c r="AD691" s="3066" t="s">
        <v>4489</v>
      </c>
      <c r="AE691" s="3066" t="s">
        <v>3560</v>
      </c>
      <c r="AF691" s="3067">
        <v>0</v>
      </c>
      <c r="AG691" s="3066">
        <v>0</v>
      </c>
      <c r="AH691" s="3066">
        <v>0</v>
      </c>
      <c r="AI691" s="3066">
        <v>0</v>
      </c>
      <c r="AJ691" s="3066">
        <v>115.16</v>
      </c>
      <c r="AK691" s="3066">
        <v>0</v>
      </c>
      <c r="AL691" s="3066">
        <v>115.16</v>
      </c>
      <c r="AM691" s="3066">
        <v>0</v>
      </c>
      <c r="AN691" s="3066" t="s">
        <v>3560</v>
      </c>
      <c r="AP691" s="3068">
        <f t="shared" si="10"/>
        <v>0</v>
      </c>
    </row>
    <row r="692" spans="2:42" ht="27" customHeight="1">
      <c r="B692" s="3066">
        <v>700</v>
      </c>
      <c r="C692" s="3066" t="s">
        <v>5748</v>
      </c>
      <c r="D692" s="3066" t="s">
        <v>4019</v>
      </c>
      <c r="E692" s="3066" t="s">
        <v>5769</v>
      </c>
      <c r="F692" s="3066" t="s">
        <v>3917</v>
      </c>
      <c r="G692" s="3066" t="s">
        <v>3560</v>
      </c>
      <c r="H692" s="3066" t="s">
        <v>3560</v>
      </c>
      <c r="I692" s="3066" t="s">
        <v>3988</v>
      </c>
      <c r="J692" s="3066" t="s">
        <v>3989</v>
      </c>
      <c r="K692" s="3066" t="s">
        <v>3560</v>
      </c>
      <c r="L692" s="3066" t="s">
        <v>3990</v>
      </c>
      <c r="M692" s="3066" t="s">
        <v>5770</v>
      </c>
      <c r="N692" s="3066">
        <v>35.6</v>
      </c>
      <c r="O692" s="3066" t="s">
        <v>5771</v>
      </c>
      <c r="P692" s="3066" t="s">
        <v>3566</v>
      </c>
      <c r="Q692" s="3066">
        <v>0</v>
      </c>
      <c r="R692" s="3066">
        <v>2349.6</v>
      </c>
      <c r="S692" s="3066" t="s">
        <v>3567</v>
      </c>
      <c r="T692" s="3066">
        <v>20</v>
      </c>
      <c r="U692" s="3066">
        <v>712</v>
      </c>
      <c r="V692" s="3066" t="s">
        <v>3560</v>
      </c>
      <c r="W692" s="3066" t="s">
        <v>3568</v>
      </c>
      <c r="X692" s="3066">
        <v>2</v>
      </c>
      <c r="Y692" s="3066">
        <v>854.4</v>
      </c>
      <c r="Z692" s="3066" t="s">
        <v>3568</v>
      </c>
      <c r="AA692" s="3066" t="s">
        <v>3560</v>
      </c>
      <c r="AB692" s="3066" t="s">
        <v>5772</v>
      </c>
      <c r="AC692" s="3066" t="s">
        <v>5772</v>
      </c>
      <c r="AD692" s="3066" t="s">
        <v>5772</v>
      </c>
      <c r="AE692" s="3066" t="s">
        <v>3560</v>
      </c>
      <c r="AF692" s="3067">
        <v>712</v>
      </c>
      <c r="AG692" s="3066">
        <v>0</v>
      </c>
      <c r="AH692" s="3066">
        <v>71.2</v>
      </c>
      <c r="AI692" s="3066">
        <v>0</v>
      </c>
      <c r="AJ692" s="3066">
        <v>0</v>
      </c>
      <c r="AK692" s="3066">
        <v>0</v>
      </c>
      <c r="AL692" s="3066">
        <v>783.2</v>
      </c>
      <c r="AM692" s="3066">
        <v>0</v>
      </c>
      <c r="AN692" s="3066" t="s">
        <v>3560</v>
      </c>
      <c r="AP692" s="3068">
        <f t="shared" si="10"/>
        <v>20</v>
      </c>
    </row>
    <row r="693" spans="2:42" ht="27" customHeight="1">
      <c r="B693" s="3066">
        <v>701</v>
      </c>
      <c r="C693" s="3066" t="s">
        <v>5748</v>
      </c>
      <c r="D693" s="3066" t="s">
        <v>4019</v>
      </c>
      <c r="E693" s="3066" t="s">
        <v>5773</v>
      </c>
      <c r="F693" s="3066" t="s">
        <v>3917</v>
      </c>
      <c r="G693" s="3066" t="s">
        <v>1373</v>
      </c>
      <c r="H693" s="3066" t="s">
        <v>3560</v>
      </c>
      <c r="I693" s="3066" t="s">
        <v>5774</v>
      </c>
      <c r="J693" s="3066" t="s">
        <v>3560</v>
      </c>
      <c r="K693" s="3066" t="s">
        <v>3560</v>
      </c>
      <c r="L693" s="3066" t="s">
        <v>5775</v>
      </c>
      <c r="M693" s="3066" t="s">
        <v>5776</v>
      </c>
      <c r="N693" s="3066">
        <v>35.6</v>
      </c>
      <c r="O693" s="3066" t="s">
        <v>3950</v>
      </c>
      <c r="P693" s="3066" t="s">
        <v>3566</v>
      </c>
      <c r="Q693" s="3066">
        <v>1</v>
      </c>
      <c r="R693" s="3066">
        <v>4144</v>
      </c>
      <c r="S693" s="3066" t="s">
        <v>3567</v>
      </c>
      <c r="T693" s="3066">
        <v>21</v>
      </c>
      <c r="U693" s="3066">
        <v>747.6</v>
      </c>
      <c r="V693" s="3066" t="s">
        <v>3560</v>
      </c>
      <c r="W693" s="3066" t="s">
        <v>3568</v>
      </c>
      <c r="X693" s="3066">
        <v>2.2799999999999998</v>
      </c>
      <c r="Y693" s="3066">
        <v>974.4</v>
      </c>
      <c r="Z693" s="3066" t="s">
        <v>3568</v>
      </c>
      <c r="AA693" s="3066" t="s">
        <v>3560</v>
      </c>
      <c r="AB693" s="3066" t="s">
        <v>3951</v>
      </c>
      <c r="AC693" s="3066" t="s">
        <v>3951</v>
      </c>
      <c r="AD693" s="3066" t="s">
        <v>3951</v>
      </c>
      <c r="AE693" s="3066" t="s">
        <v>3560</v>
      </c>
      <c r="AF693" s="3067">
        <v>747.6</v>
      </c>
      <c r="AG693" s="3066">
        <v>747.6</v>
      </c>
      <c r="AH693" s="3066">
        <v>81.2</v>
      </c>
      <c r="AI693" s="3066">
        <v>81.2</v>
      </c>
      <c r="AJ693" s="3066">
        <v>80.650000000000006</v>
      </c>
      <c r="AK693" s="3066">
        <v>80.650000000000006</v>
      </c>
      <c r="AL693" s="3066">
        <v>909.45</v>
      </c>
      <c r="AM693" s="3066">
        <v>909.45</v>
      </c>
      <c r="AN693" s="3066" t="s">
        <v>3560</v>
      </c>
      <c r="AP693" s="3068">
        <f t="shared" si="10"/>
        <v>21</v>
      </c>
    </row>
    <row r="694" spans="2:42" ht="27" customHeight="1">
      <c r="B694" s="3066">
        <v>702</v>
      </c>
      <c r="C694" s="3066" t="s">
        <v>5748</v>
      </c>
      <c r="D694" s="3066" t="s">
        <v>4019</v>
      </c>
      <c r="E694" s="3066" t="s">
        <v>5777</v>
      </c>
      <c r="F694" s="3066" t="s">
        <v>3917</v>
      </c>
      <c r="G694" s="3066" t="s">
        <v>1373</v>
      </c>
      <c r="H694" s="3066" t="s">
        <v>3560</v>
      </c>
      <c r="I694" s="3066" t="s">
        <v>5778</v>
      </c>
      <c r="J694" s="3066" t="s">
        <v>3560</v>
      </c>
      <c r="K694" s="3066" t="s">
        <v>3560</v>
      </c>
      <c r="L694" s="3066" t="s">
        <v>5779</v>
      </c>
      <c r="M694" s="3066" t="s">
        <v>5780</v>
      </c>
      <c r="N694" s="3066">
        <v>35.6</v>
      </c>
      <c r="O694" s="3066" t="s">
        <v>3619</v>
      </c>
      <c r="P694" s="3066" t="s">
        <v>3566</v>
      </c>
      <c r="Q694" s="3066">
        <v>1</v>
      </c>
      <c r="R694" s="3066">
        <v>3610</v>
      </c>
      <c r="S694" s="3066" t="s">
        <v>3567</v>
      </c>
      <c r="T694" s="3066">
        <v>21</v>
      </c>
      <c r="U694" s="3066">
        <v>747.6</v>
      </c>
      <c r="V694" s="3066" t="s">
        <v>3560</v>
      </c>
      <c r="W694" s="3066" t="s">
        <v>3568</v>
      </c>
      <c r="X694" s="3066">
        <v>2.2799999999999998</v>
      </c>
      <c r="Y694" s="3066">
        <v>974.4</v>
      </c>
      <c r="Z694" s="3066" t="s">
        <v>3568</v>
      </c>
      <c r="AA694" s="3066" t="s">
        <v>3560</v>
      </c>
      <c r="AB694" s="3066" t="s">
        <v>3584</v>
      </c>
      <c r="AC694" s="3066" t="s">
        <v>3584</v>
      </c>
      <c r="AD694" s="3066" t="s">
        <v>3584</v>
      </c>
      <c r="AE694" s="3066" t="s">
        <v>3560</v>
      </c>
      <c r="AF694" s="3067">
        <v>747.6</v>
      </c>
      <c r="AG694" s="3066">
        <v>747.6</v>
      </c>
      <c r="AH694" s="3066">
        <v>81.2</v>
      </c>
      <c r="AI694" s="3066">
        <v>81.2</v>
      </c>
      <c r="AJ694" s="3066">
        <v>49.89</v>
      </c>
      <c r="AK694" s="3066">
        <v>49.89</v>
      </c>
      <c r="AL694" s="3066">
        <v>878.69</v>
      </c>
      <c r="AM694" s="3066">
        <v>878.69</v>
      </c>
      <c r="AN694" s="3066" t="s">
        <v>3560</v>
      </c>
      <c r="AP694" s="3068">
        <f t="shared" si="10"/>
        <v>21</v>
      </c>
    </row>
    <row r="695" spans="2:42" ht="27" customHeight="1">
      <c r="B695" s="3066">
        <v>703</v>
      </c>
      <c r="C695" s="3066" t="s">
        <v>5748</v>
      </c>
      <c r="D695" s="3066" t="s">
        <v>4019</v>
      </c>
      <c r="E695" s="3066" t="s">
        <v>5781</v>
      </c>
      <c r="F695" s="3066" t="s">
        <v>3917</v>
      </c>
      <c r="G695" s="3066" t="s">
        <v>1373</v>
      </c>
      <c r="H695" s="3066" t="s">
        <v>3560</v>
      </c>
      <c r="I695" s="3066" t="s">
        <v>5567</v>
      </c>
      <c r="J695" s="3066" t="s">
        <v>3788</v>
      </c>
      <c r="K695" s="3066" t="s">
        <v>3560</v>
      </c>
      <c r="L695" s="3066" t="s">
        <v>3789</v>
      </c>
      <c r="M695" s="3066" t="s">
        <v>5782</v>
      </c>
      <c r="N695" s="3066">
        <v>35.6</v>
      </c>
      <c r="O695" s="3066" t="s">
        <v>3619</v>
      </c>
      <c r="P695" s="3066" t="s">
        <v>3566</v>
      </c>
      <c r="Q695" s="3066">
        <v>1</v>
      </c>
      <c r="R695" s="3066">
        <v>663.6</v>
      </c>
      <c r="S695" s="3066" t="s">
        <v>3567</v>
      </c>
      <c r="T695" s="3066">
        <v>20</v>
      </c>
      <c r="U695" s="3066">
        <v>712</v>
      </c>
      <c r="V695" s="3066" t="s">
        <v>3560</v>
      </c>
      <c r="W695" s="3066" t="s">
        <v>3568</v>
      </c>
      <c r="X695" s="3066">
        <v>2</v>
      </c>
      <c r="Y695" s="3066">
        <v>854.4</v>
      </c>
      <c r="Z695" s="3066" t="s">
        <v>3568</v>
      </c>
      <c r="AA695" s="3066" t="s">
        <v>3560</v>
      </c>
      <c r="AB695" s="3066" t="s">
        <v>3584</v>
      </c>
      <c r="AC695" s="3066" t="s">
        <v>3584</v>
      </c>
      <c r="AD695" s="3066" t="s">
        <v>3584</v>
      </c>
      <c r="AE695" s="3066" t="s">
        <v>3560</v>
      </c>
      <c r="AF695" s="3067">
        <v>712</v>
      </c>
      <c r="AG695" s="3066">
        <v>0</v>
      </c>
      <c r="AH695" s="3066">
        <v>71.2</v>
      </c>
      <c r="AI695" s="3066">
        <v>0</v>
      </c>
      <c r="AJ695" s="3066">
        <v>172.96</v>
      </c>
      <c r="AK695" s="3066">
        <v>0</v>
      </c>
      <c r="AL695" s="3066">
        <v>956.16</v>
      </c>
      <c r="AM695" s="3066">
        <v>0</v>
      </c>
      <c r="AN695" s="3066" t="s">
        <v>3560</v>
      </c>
      <c r="AP695" s="3068">
        <f t="shared" si="10"/>
        <v>20</v>
      </c>
    </row>
    <row r="696" spans="2:42" ht="27" customHeight="1">
      <c r="B696" s="3066">
        <v>704</v>
      </c>
      <c r="C696" s="3066" t="s">
        <v>5748</v>
      </c>
      <c r="D696" s="3066" t="s">
        <v>4019</v>
      </c>
      <c r="E696" s="3066" t="s">
        <v>5783</v>
      </c>
      <c r="F696" s="3066" t="s">
        <v>3917</v>
      </c>
      <c r="G696" s="3066" t="s">
        <v>1373</v>
      </c>
      <c r="H696" s="3066" t="s">
        <v>3560</v>
      </c>
      <c r="I696" s="3066" t="s">
        <v>5750</v>
      </c>
      <c r="J696" s="3066" t="s">
        <v>3560</v>
      </c>
      <c r="K696" s="3066" t="s">
        <v>3560</v>
      </c>
      <c r="L696" s="3066" t="s">
        <v>5751</v>
      </c>
      <c r="M696" s="3066" t="s">
        <v>5784</v>
      </c>
      <c r="N696" s="3066">
        <v>35.6</v>
      </c>
      <c r="O696" s="3066" t="s">
        <v>3619</v>
      </c>
      <c r="P696" s="3066" t="s">
        <v>3566</v>
      </c>
      <c r="Q696" s="3066">
        <v>1</v>
      </c>
      <c r="R696" s="3066">
        <v>11523</v>
      </c>
      <c r="S696" s="3066" t="s">
        <v>3567</v>
      </c>
      <c r="T696" s="3066">
        <v>21</v>
      </c>
      <c r="U696" s="3066">
        <v>747.6</v>
      </c>
      <c r="V696" s="3066" t="s">
        <v>3560</v>
      </c>
      <c r="W696" s="3066" t="s">
        <v>3568</v>
      </c>
      <c r="X696" s="3066">
        <v>2.2799999999999998</v>
      </c>
      <c r="Y696" s="3066">
        <v>974.4</v>
      </c>
      <c r="Z696" s="3066" t="s">
        <v>3568</v>
      </c>
      <c r="AA696" s="3066" t="s">
        <v>3560</v>
      </c>
      <c r="AB696" s="3066" t="s">
        <v>3584</v>
      </c>
      <c r="AC696" s="3066" t="s">
        <v>3584</v>
      </c>
      <c r="AD696" s="3066" t="s">
        <v>3584</v>
      </c>
      <c r="AE696" s="3066" t="s">
        <v>3560</v>
      </c>
      <c r="AF696" s="3067">
        <v>747.6</v>
      </c>
      <c r="AG696" s="3066">
        <v>0</v>
      </c>
      <c r="AH696" s="3066">
        <v>81.2</v>
      </c>
      <c r="AI696" s="3066">
        <v>0</v>
      </c>
      <c r="AJ696" s="3066">
        <v>20.149999999999999</v>
      </c>
      <c r="AK696" s="3066">
        <v>0</v>
      </c>
      <c r="AL696" s="3066">
        <v>848.95</v>
      </c>
      <c r="AM696" s="3066">
        <v>0</v>
      </c>
      <c r="AN696" s="3066" t="s">
        <v>3560</v>
      </c>
      <c r="AP696" s="3068">
        <f t="shared" si="10"/>
        <v>21</v>
      </c>
    </row>
    <row r="697" spans="2:42" ht="27" customHeight="1">
      <c r="B697" s="3066">
        <v>705</v>
      </c>
      <c r="C697" s="3066" t="s">
        <v>5748</v>
      </c>
      <c r="D697" s="3066" t="s">
        <v>4019</v>
      </c>
      <c r="E697" s="3066" t="s">
        <v>5785</v>
      </c>
      <c r="F697" s="3066" t="s">
        <v>3917</v>
      </c>
      <c r="G697" s="3066" t="s">
        <v>3560</v>
      </c>
      <c r="H697" s="3066" t="s">
        <v>3560</v>
      </c>
      <c r="I697" s="3066" t="s">
        <v>5786</v>
      </c>
      <c r="J697" s="3066" t="s">
        <v>5575</v>
      </c>
      <c r="K697" s="3066" t="s">
        <v>3560</v>
      </c>
      <c r="L697" s="3066" t="s">
        <v>5576</v>
      </c>
      <c r="M697" s="3066" t="s">
        <v>5787</v>
      </c>
      <c r="N697" s="3066">
        <v>35.6</v>
      </c>
      <c r="O697" s="3066" t="s">
        <v>3931</v>
      </c>
      <c r="P697" s="3066" t="s">
        <v>3566</v>
      </c>
      <c r="Q697" s="3066">
        <v>1</v>
      </c>
      <c r="R697" s="3066">
        <v>2349.6</v>
      </c>
      <c r="S697" s="3066" t="s">
        <v>3567</v>
      </c>
      <c r="T697" s="3066">
        <v>20</v>
      </c>
      <c r="U697" s="3066">
        <v>712</v>
      </c>
      <c r="V697" s="3066" t="s">
        <v>3560</v>
      </c>
      <c r="W697" s="3066" t="s">
        <v>3568</v>
      </c>
      <c r="X697" s="3066">
        <v>2</v>
      </c>
      <c r="Y697" s="3066">
        <v>854.4</v>
      </c>
      <c r="Z697" s="3066" t="s">
        <v>3568</v>
      </c>
      <c r="AA697" s="3066" t="s">
        <v>3560</v>
      </c>
      <c r="AB697" s="3066" t="s">
        <v>3932</v>
      </c>
      <c r="AC697" s="3066" t="s">
        <v>3932</v>
      </c>
      <c r="AD697" s="3066" t="s">
        <v>3932</v>
      </c>
      <c r="AE697" s="3066" t="s">
        <v>3560</v>
      </c>
      <c r="AF697" s="3067">
        <v>712</v>
      </c>
      <c r="AG697" s="3066">
        <v>0</v>
      </c>
      <c r="AH697" s="3066">
        <v>71.2</v>
      </c>
      <c r="AI697" s="3066">
        <v>0</v>
      </c>
      <c r="AJ697" s="3066">
        <v>62.89</v>
      </c>
      <c r="AK697" s="3066">
        <v>0</v>
      </c>
      <c r="AL697" s="3066">
        <v>846.09</v>
      </c>
      <c r="AM697" s="3066">
        <v>0</v>
      </c>
      <c r="AN697" s="3066" t="s">
        <v>3560</v>
      </c>
      <c r="AP697" s="3068">
        <f t="shared" si="10"/>
        <v>20</v>
      </c>
    </row>
    <row r="698" spans="2:42" ht="27" customHeight="1">
      <c r="B698" s="3066">
        <v>706</v>
      </c>
      <c r="C698" s="3066" t="s">
        <v>5748</v>
      </c>
      <c r="D698" s="3066" t="s">
        <v>4019</v>
      </c>
      <c r="E698" s="3066" t="s">
        <v>5788</v>
      </c>
      <c r="F698" s="3066" t="s">
        <v>3917</v>
      </c>
      <c r="G698" s="3066" t="s">
        <v>1373</v>
      </c>
      <c r="H698" s="3066" t="s">
        <v>3560</v>
      </c>
      <c r="I698" s="3066" t="s">
        <v>5789</v>
      </c>
      <c r="J698" s="3066" t="s">
        <v>3560</v>
      </c>
      <c r="K698" s="3066" t="s">
        <v>3560</v>
      </c>
      <c r="L698" s="3066" t="s">
        <v>5790</v>
      </c>
      <c r="M698" s="3066" t="s">
        <v>5791</v>
      </c>
      <c r="N698" s="3066">
        <v>35.6</v>
      </c>
      <c r="O698" s="3066" t="s">
        <v>3619</v>
      </c>
      <c r="P698" s="3066" t="s">
        <v>3566</v>
      </c>
      <c r="Q698" s="3066">
        <v>1</v>
      </c>
      <c r="R698" s="3066">
        <v>4916</v>
      </c>
      <c r="S698" s="3066" t="s">
        <v>3567</v>
      </c>
      <c r="T698" s="3066">
        <v>20</v>
      </c>
      <c r="U698" s="3066">
        <v>712</v>
      </c>
      <c r="V698" s="3066" t="s">
        <v>3560</v>
      </c>
      <c r="W698" s="3066" t="s">
        <v>3568</v>
      </c>
      <c r="X698" s="3066">
        <v>2.2799999999999998</v>
      </c>
      <c r="Y698" s="3066">
        <v>974.4</v>
      </c>
      <c r="Z698" s="3066" t="s">
        <v>3568</v>
      </c>
      <c r="AA698" s="3066" t="s">
        <v>3560</v>
      </c>
      <c r="AB698" s="3066" t="s">
        <v>3584</v>
      </c>
      <c r="AC698" s="3066" t="s">
        <v>3584</v>
      </c>
      <c r="AD698" s="3066" t="s">
        <v>3584</v>
      </c>
      <c r="AE698" s="3066" t="s">
        <v>3560</v>
      </c>
      <c r="AF698" s="3067">
        <v>712</v>
      </c>
      <c r="AG698" s="3066">
        <v>712</v>
      </c>
      <c r="AH698" s="3066">
        <v>81.2</v>
      </c>
      <c r="AI698" s="3066">
        <v>81.2</v>
      </c>
      <c r="AJ698" s="3066">
        <v>188.42</v>
      </c>
      <c r="AK698" s="3066">
        <v>188.42</v>
      </c>
      <c r="AL698" s="3066">
        <v>981.62</v>
      </c>
      <c r="AM698" s="3066">
        <v>981.62</v>
      </c>
      <c r="AN698" s="3066" t="s">
        <v>3560</v>
      </c>
      <c r="AP698" s="3068">
        <f t="shared" si="10"/>
        <v>20</v>
      </c>
    </row>
    <row r="699" spans="2:42" ht="27" customHeight="1">
      <c r="B699" s="3066">
        <v>707</v>
      </c>
      <c r="C699" s="3066" t="s">
        <v>5748</v>
      </c>
      <c r="D699" s="3066" t="s">
        <v>4019</v>
      </c>
      <c r="E699" s="3066" t="s">
        <v>5792</v>
      </c>
      <c r="F699" s="3066" t="s">
        <v>3917</v>
      </c>
      <c r="G699" s="3066" t="s">
        <v>3560</v>
      </c>
      <c r="H699" s="3066" t="s">
        <v>3560</v>
      </c>
      <c r="I699" s="3066" t="s">
        <v>5793</v>
      </c>
      <c r="J699" s="3066" t="s">
        <v>5793</v>
      </c>
      <c r="K699" s="3066" t="s">
        <v>3560</v>
      </c>
      <c r="L699" s="3066" t="s">
        <v>5794</v>
      </c>
      <c r="M699" s="3066" t="s">
        <v>5795</v>
      </c>
      <c r="N699" s="3066">
        <v>39.700000000000003</v>
      </c>
      <c r="O699" s="3066" t="s">
        <v>3619</v>
      </c>
      <c r="P699" s="3066" t="s">
        <v>3566</v>
      </c>
      <c r="Q699" s="3066">
        <v>1</v>
      </c>
      <c r="R699" s="3066">
        <v>4417</v>
      </c>
      <c r="S699" s="3066" t="s">
        <v>3567</v>
      </c>
      <c r="T699" s="3066">
        <v>20</v>
      </c>
      <c r="U699" s="3066">
        <v>794</v>
      </c>
      <c r="V699" s="3066" t="s">
        <v>3560</v>
      </c>
      <c r="W699" s="3066" t="s">
        <v>3568</v>
      </c>
      <c r="X699" s="3066">
        <v>2.25</v>
      </c>
      <c r="Y699" s="3066">
        <v>1072.8</v>
      </c>
      <c r="Z699" s="3066" t="s">
        <v>3568</v>
      </c>
      <c r="AA699" s="3066" t="s">
        <v>3560</v>
      </c>
      <c r="AB699" s="3066" t="s">
        <v>3584</v>
      </c>
      <c r="AC699" s="3066" t="s">
        <v>3584</v>
      </c>
      <c r="AD699" s="3066" t="s">
        <v>3584</v>
      </c>
      <c r="AE699" s="3066" t="s">
        <v>3560</v>
      </c>
      <c r="AF699" s="3067">
        <v>794</v>
      </c>
      <c r="AG699" s="3066">
        <v>794</v>
      </c>
      <c r="AH699" s="3066">
        <v>89.4</v>
      </c>
      <c r="AI699" s="3066">
        <v>89.4</v>
      </c>
      <c r="AJ699" s="3066">
        <v>99.69</v>
      </c>
      <c r="AK699" s="3066">
        <v>99.69</v>
      </c>
      <c r="AL699" s="3066">
        <v>983.09</v>
      </c>
      <c r="AM699" s="3066">
        <v>983.09</v>
      </c>
      <c r="AN699" s="3066" t="s">
        <v>3560</v>
      </c>
      <c r="AP699" s="3068">
        <f t="shared" si="10"/>
        <v>20</v>
      </c>
    </row>
    <row r="700" spans="2:42" ht="27" customHeight="1">
      <c r="B700" s="3066">
        <v>708</v>
      </c>
      <c r="C700" s="3066" t="s">
        <v>5748</v>
      </c>
      <c r="D700" s="3066" t="s">
        <v>4053</v>
      </c>
      <c r="E700" s="3066" t="s">
        <v>5796</v>
      </c>
      <c r="F700" s="3066" t="s">
        <v>3917</v>
      </c>
      <c r="G700" s="3066" t="s">
        <v>1373</v>
      </c>
      <c r="H700" s="3066" t="s">
        <v>3560</v>
      </c>
      <c r="I700" s="3066" t="s">
        <v>5797</v>
      </c>
      <c r="J700" s="3066" t="s">
        <v>5798</v>
      </c>
      <c r="K700" s="3066" t="s">
        <v>3560</v>
      </c>
      <c r="L700" s="3066" t="s">
        <v>5799</v>
      </c>
      <c r="M700" s="3066" t="s">
        <v>5800</v>
      </c>
      <c r="N700" s="3066">
        <v>431.3</v>
      </c>
      <c r="O700" s="3066" t="s">
        <v>3619</v>
      </c>
      <c r="P700" s="3066" t="s">
        <v>3566</v>
      </c>
      <c r="Q700" s="3066">
        <v>1</v>
      </c>
      <c r="R700" s="3066">
        <v>47262.6</v>
      </c>
      <c r="S700" s="3066" t="s">
        <v>3567</v>
      </c>
      <c r="T700" s="3066">
        <v>20</v>
      </c>
      <c r="U700" s="3066">
        <v>8626</v>
      </c>
      <c r="V700" s="3066" t="s">
        <v>3560</v>
      </c>
      <c r="W700" s="3066" t="s">
        <v>3568</v>
      </c>
      <c r="X700" s="3066">
        <v>2</v>
      </c>
      <c r="Y700" s="3066">
        <v>10351.200000000001</v>
      </c>
      <c r="Z700" s="3066" t="s">
        <v>3568</v>
      </c>
      <c r="AA700" s="3066" t="s">
        <v>3560</v>
      </c>
      <c r="AB700" s="3066" t="s">
        <v>3584</v>
      </c>
      <c r="AC700" s="3066" t="s">
        <v>3584</v>
      </c>
      <c r="AD700" s="3066" t="s">
        <v>3584</v>
      </c>
      <c r="AE700" s="3066" t="s">
        <v>3560</v>
      </c>
      <c r="AF700" s="3067">
        <v>8626</v>
      </c>
      <c r="AG700" s="3066">
        <v>8626</v>
      </c>
      <c r="AH700" s="3066">
        <v>862.6</v>
      </c>
      <c r="AI700" s="3066">
        <v>862.6</v>
      </c>
      <c r="AJ700" s="3066">
        <v>1977.18</v>
      </c>
      <c r="AK700" s="3066">
        <v>1977.18</v>
      </c>
      <c r="AL700" s="3066">
        <v>11465.78</v>
      </c>
      <c r="AM700" s="3066">
        <v>11465.78</v>
      </c>
      <c r="AN700" s="3066" t="s">
        <v>3560</v>
      </c>
      <c r="AP700" s="3068">
        <f t="shared" si="10"/>
        <v>20</v>
      </c>
    </row>
    <row r="701" spans="2:42" ht="27" customHeight="1">
      <c r="B701" s="3066">
        <v>709</v>
      </c>
      <c r="C701" s="3066" t="s">
        <v>5748</v>
      </c>
      <c r="D701" s="3066" t="s">
        <v>3915</v>
      </c>
      <c r="E701" s="3066" t="s">
        <v>5801</v>
      </c>
      <c r="F701" s="3066" t="s">
        <v>3917</v>
      </c>
      <c r="G701" s="3066" t="s">
        <v>1373</v>
      </c>
      <c r="H701" s="3066" t="s">
        <v>3560</v>
      </c>
      <c r="I701" s="3066" t="s">
        <v>5797</v>
      </c>
      <c r="J701" s="3066" t="s">
        <v>5798</v>
      </c>
      <c r="K701" s="3066" t="s">
        <v>3560</v>
      </c>
      <c r="L701" s="3066" t="s">
        <v>5799</v>
      </c>
      <c r="M701" s="3066" t="s">
        <v>5802</v>
      </c>
      <c r="N701" s="3066">
        <v>35.6</v>
      </c>
      <c r="O701" s="3066" t="s">
        <v>3619</v>
      </c>
      <c r="P701" s="3066" t="s">
        <v>3566</v>
      </c>
      <c r="Q701" s="3066">
        <v>1</v>
      </c>
      <c r="R701" s="3066">
        <v>0</v>
      </c>
      <c r="S701" s="3066" t="s">
        <v>3577</v>
      </c>
      <c r="T701" s="3066">
        <v>20</v>
      </c>
      <c r="U701" s="3066">
        <v>712</v>
      </c>
      <c r="V701" s="3066" t="s">
        <v>3560</v>
      </c>
      <c r="W701" s="3066" t="s">
        <v>3568</v>
      </c>
      <c r="X701" s="3066">
        <v>2</v>
      </c>
      <c r="Y701" s="3066">
        <v>854.4</v>
      </c>
      <c r="Z701" s="3066" t="s">
        <v>3568</v>
      </c>
      <c r="AA701" s="3066" t="s">
        <v>3560</v>
      </c>
      <c r="AB701" s="3066" t="s">
        <v>3584</v>
      </c>
      <c r="AC701" s="3066" t="s">
        <v>3584</v>
      </c>
      <c r="AD701" s="3066" t="s">
        <v>3584</v>
      </c>
      <c r="AE701" s="3066" t="s">
        <v>3560</v>
      </c>
      <c r="AF701" s="3067">
        <v>712</v>
      </c>
      <c r="AG701" s="3066">
        <v>712</v>
      </c>
      <c r="AH701" s="3066">
        <v>71.2</v>
      </c>
      <c r="AI701" s="3066">
        <v>71.2</v>
      </c>
      <c r="AJ701" s="3066">
        <v>17.43</v>
      </c>
      <c r="AK701" s="3066">
        <v>17.43</v>
      </c>
      <c r="AL701" s="3066">
        <v>800.63</v>
      </c>
      <c r="AM701" s="3066">
        <v>800.63</v>
      </c>
      <c r="AN701" s="3066" t="s">
        <v>3560</v>
      </c>
      <c r="AP701" s="3068">
        <f t="shared" si="10"/>
        <v>20</v>
      </c>
    </row>
    <row r="702" spans="2:42" ht="27" customHeight="1">
      <c r="B702" s="3066">
        <v>710</v>
      </c>
      <c r="C702" s="3066" t="s">
        <v>5748</v>
      </c>
      <c r="D702" s="3066" t="s">
        <v>3915</v>
      </c>
      <c r="E702" s="3066" t="s">
        <v>5803</v>
      </c>
      <c r="F702" s="3066" t="s">
        <v>3917</v>
      </c>
      <c r="G702" s="3066" t="s">
        <v>1373</v>
      </c>
      <c r="H702" s="3066" t="s">
        <v>3560</v>
      </c>
      <c r="I702" s="3066" t="s">
        <v>5797</v>
      </c>
      <c r="J702" s="3066" t="s">
        <v>5798</v>
      </c>
      <c r="K702" s="3066" t="s">
        <v>3560</v>
      </c>
      <c r="L702" s="3066" t="s">
        <v>5799</v>
      </c>
      <c r="M702" s="3066" t="s">
        <v>5804</v>
      </c>
      <c r="N702" s="3066">
        <v>35.6</v>
      </c>
      <c r="O702" s="3066" t="s">
        <v>3619</v>
      </c>
      <c r="P702" s="3066" t="s">
        <v>3566</v>
      </c>
      <c r="Q702" s="3066">
        <v>1</v>
      </c>
      <c r="R702" s="3066">
        <v>0</v>
      </c>
      <c r="S702" s="3066" t="s">
        <v>3577</v>
      </c>
      <c r="T702" s="3066">
        <v>20</v>
      </c>
      <c r="U702" s="3066">
        <v>712</v>
      </c>
      <c r="V702" s="3066" t="s">
        <v>3560</v>
      </c>
      <c r="W702" s="3066" t="s">
        <v>3568</v>
      </c>
      <c r="X702" s="3066">
        <v>2</v>
      </c>
      <c r="Y702" s="3066">
        <v>854.4</v>
      </c>
      <c r="Z702" s="3066" t="s">
        <v>3568</v>
      </c>
      <c r="AA702" s="3066" t="s">
        <v>3560</v>
      </c>
      <c r="AB702" s="3066" t="s">
        <v>3584</v>
      </c>
      <c r="AC702" s="3066" t="s">
        <v>3584</v>
      </c>
      <c r="AD702" s="3066" t="s">
        <v>3584</v>
      </c>
      <c r="AE702" s="3066" t="s">
        <v>3560</v>
      </c>
      <c r="AF702" s="3067">
        <v>712</v>
      </c>
      <c r="AG702" s="3066">
        <v>712</v>
      </c>
      <c r="AH702" s="3066">
        <v>71.2</v>
      </c>
      <c r="AI702" s="3066">
        <v>71.2</v>
      </c>
      <c r="AJ702" s="3066">
        <v>35.03</v>
      </c>
      <c r="AK702" s="3066">
        <v>35.03</v>
      </c>
      <c r="AL702" s="3066">
        <v>818.23</v>
      </c>
      <c r="AM702" s="3066">
        <v>818.23</v>
      </c>
      <c r="AN702" s="3066" t="s">
        <v>3560</v>
      </c>
      <c r="AP702" s="3068">
        <f t="shared" si="10"/>
        <v>20</v>
      </c>
    </row>
    <row r="703" spans="2:42" ht="27" customHeight="1">
      <c r="B703" s="3066">
        <v>711</v>
      </c>
      <c r="C703" s="3066" t="s">
        <v>5748</v>
      </c>
      <c r="D703" s="3066" t="s">
        <v>3915</v>
      </c>
      <c r="E703" s="3066" t="s">
        <v>5805</v>
      </c>
      <c r="F703" s="3066" t="s">
        <v>3917</v>
      </c>
      <c r="G703" s="3066" t="s">
        <v>1373</v>
      </c>
      <c r="H703" s="3066" t="s">
        <v>3560</v>
      </c>
      <c r="I703" s="3066" t="s">
        <v>5797</v>
      </c>
      <c r="J703" s="3066" t="s">
        <v>5798</v>
      </c>
      <c r="K703" s="3066" t="s">
        <v>3560</v>
      </c>
      <c r="L703" s="3066" t="s">
        <v>5799</v>
      </c>
      <c r="M703" s="3066" t="s">
        <v>5806</v>
      </c>
      <c r="N703" s="3066">
        <v>35.6</v>
      </c>
      <c r="O703" s="3066" t="s">
        <v>3619</v>
      </c>
      <c r="P703" s="3066" t="s">
        <v>3566</v>
      </c>
      <c r="Q703" s="3066">
        <v>1</v>
      </c>
      <c r="R703" s="3066">
        <v>0</v>
      </c>
      <c r="S703" s="3066" t="s">
        <v>3577</v>
      </c>
      <c r="T703" s="3066">
        <v>20</v>
      </c>
      <c r="U703" s="3066">
        <v>712</v>
      </c>
      <c r="V703" s="3066" t="s">
        <v>3560</v>
      </c>
      <c r="W703" s="3066" t="s">
        <v>3568</v>
      </c>
      <c r="X703" s="3066">
        <v>2</v>
      </c>
      <c r="Y703" s="3066">
        <v>854.4</v>
      </c>
      <c r="Z703" s="3066" t="s">
        <v>3568</v>
      </c>
      <c r="AA703" s="3066" t="s">
        <v>3560</v>
      </c>
      <c r="AB703" s="3066" t="s">
        <v>3584</v>
      </c>
      <c r="AC703" s="3066" t="s">
        <v>3584</v>
      </c>
      <c r="AD703" s="3066" t="s">
        <v>3584</v>
      </c>
      <c r="AE703" s="3066" t="s">
        <v>3560</v>
      </c>
      <c r="AF703" s="3067">
        <v>712</v>
      </c>
      <c r="AG703" s="3066">
        <v>712</v>
      </c>
      <c r="AH703" s="3066">
        <v>71.2</v>
      </c>
      <c r="AI703" s="3066">
        <v>71.2</v>
      </c>
      <c r="AJ703" s="3066">
        <v>20.85</v>
      </c>
      <c r="AK703" s="3066">
        <v>20.85</v>
      </c>
      <c r="AL703" s="3066">
        <v>804.05</v>
      </c>
      <c r="AM703" s="3066">
        <v>804.05</v>
      </c>
      <c r="AN703" s="3066" t="s">
        <v>3560</v>
      </c>
      <c r="AP703" s="3068">
        <f t="shared" si="10"/>
        <v>20</v>
      </c>
    </row>
    <row r="704" spans="2:42" ht="27" customHeight="1">
      <c r="B704" s="3066">
        <v>712</v>
      </c>
      <c r="C704" s="3066" t="s">
        <v>5748</v>
      </c>
      <c r="D704" s="3066" t="s">
        <v>3915</v>
      </c>
      <c r="E704" s="3066" t="s">
        <v>5807</v>
      </c>
      <c r="F704" s="3066" t="s">
        <v>3917</v>
      </c>
      <c r="G704" s="3066" t="s">
        <v>1373</v>
      </c>
      <c r="H704" s="3066" t="s">
        <v>3560</v>
      </c>
      <c r="I704" s="3066" t="s">
        <v>5797</v>
      </c>
      <c r="J704" s="3066" t="s">
        <v>5798</v>
      </c>
      <c r="K704" s="3066" t="s">
        <v>3560</v>
      </c>
      <c r="L704" s="3066" t="s">
        <v>5799</v>
      </c>
      <c r="M704" s="3066" t="s">
        <v>5808</v>
      </c>
      <c r="N704" s="3066">
        <v>35.6</v>
      </c>
      <c r="O704" s="3066" t="s">
        <v>3619</v>
      </c>
      <c r="P704" s="3066" t="s">
        <v>3566</v>
      </c>
      <c r="Q704" s="3066">
        <v>1</v>
      </c>
      <c r="R704" s="3066">
        <v>0</v>
      </c>
      <c r="S704" s="3066" t="s">
        <v>3577</v>
      </c>
      <c r="T704" s="3066">
        <v>20</v>
      </c>
      <c r="U704" s="3066">
        <v>712</v>
      </c>
      <c r="V704" s="3066" t="s">
        <v>3560</v>
      </c>
      <c r="W704" s="3066" t="s">
        <v>3568</v>
      </c>
      <c r="X704" s="3066">
        <v>2</v>
      </c>
      <c r="Y704" s="3066">
        <v>854.4</v>
      </c>
      <c r="Z704" s="3066" t="s">
        <v>3568</v>
      </c>
      <c r="AA704" s="3066" t="s">
        <v>3560</v>
      </c>
      <c r="AB704" s="3066" t="s">
        <v>3584</v>
      </c>
      <c r="AC704" s="3066" t="s">
        <v>3584</v>
      </c>
      <c r="AD704" s="3066" t="s">
        <v>3584</v>
      </c>
      <c r="AE704" s="3066" t="s">
        <v>3560</v>
      </c>
      <c r="AF704" s="3067">
        <v>712</v>
      </c>
      <c r="AG704" s="3066">
        <v>712</v>
      </c>
      <c r="AH704" s="3066">
        <v>71.2</v>
      </c>
      <c r="AI704" s="3066">
        <v>71.2</v>
      </c>
      <c r="AJ704" s="3066">
        <v>58.32</v>
      </c>
      <c r="AK704" s="3066">
        <v>58.32</v>
      </c>
      <c r="AL704" s="3066">
        <v>841.52</v>
      </c>
      <c r="AM704" s="3066">
        <v>841.52</v>
      </c>
      <c r="AN704" s="3066" t="s">
        <v>3560</v>
      </c>
      <c r="AP704" s="3068">
        <f t="shared" si="10"/>
        <v>20</v>
      </c>
    </row>
    <row r="705" spans="2:42" ht="27" customHeight="1">
      <c r="B705" s="3066">
        <v>713</v>
      </c>
      <c r="C705" s="3066" t="s">
        <v>5748</v>
      </c>
      <c r="D705" s="3066" t="s">
        <v>3915</v>
      </c>
      <c r="E705" s="3066" t="s">
        <v>5809</v>
      </c>
      <c r="F705" s="3066" t="s">
        <v>3917</v>
      </c>
      <c r="G705" s="3066" t="s">
        <v>1373</v>
      </c>
      <c r="H705" s="3066" t="s">
        <v>3560</v>
      </c>
      <c r="I705" s="3066" t="s">
        <v>5797</v>
      </c>
      <c r="J705" s="3066" t="s">
        <v>5798</v>
      </c>
      <c r="K705" s="3066" t="s">
        <v>3560</v>
      </c>
      <c r="L705" s="3066" t="s">
        <v>5799</v>
      </c>
      <c r="M705" s="3066" t="s">
        <v>5810</v>
      </c>
      <c r="N705" s="3066">
        <v>35.6</v>
      </c>
      <c r="O705" s="3066" t="s">
        <v>3619</v>
      </c>
      <c r="P705" s="3066" t="s">
        <v>3566</v>
      </c>
      <c r="Q705" s="3066">
        <v>1</v>
      </c>
      <c r="R705" s="3066">
        <v>0</v>
      </c>
      <c r="S705" s="3066" t="s">
        <v>3577</v>
      </c>
      <c r="T705" s="3066">
        <v>20</v>
      </c>
      <c r="U705" s="3066">
        <v>712</v>
      </c>
      <c r="V705" s="3066" t="s">
        <v>3560</v>
      </c>
      <c r="W705" s="3066" t="s">
        <v>3568</v>
      </c>
      <c r="X705" s="3066">
        <v>2</v>
      </c>
      <c r="Y705" s="3066">
        <v>854.4</v>
      </c>
      <c r="Z705" s="3066" t="s">
        <v>3568</v>
      </c>
      <c r="AA705" s="3066" t="s">
        <v>3560</v>
      </c>
      <c r="AB705" s="3066" t="s">
        <v>3584</v>
      </c>
      <c r="AC705" s="3066" t="s">
        <v>3584</v>
      </c>
      <c r="AD705" s="3066" t="s">
        <v>3584</v>
      </c>
      <c r="AE705" s="3066" t="s">
        <v>3560</v>
      </c>
      <c r="AF705" s="3067">
        <v>712</v>
      </c>
      <c r="AG705" s="3066">
        <v>712</v>
      </c>
      <c r="AH705" s="3066">
        <v>71.2</v>
      </c>
      <c r="AI705" s="3066">
        <v>71.2</v>
      </c>
      <c r="AJ705" s="3066">
        <v>56.04</v>
      </c>
      <c r="AK705" s="3066">
        <v>56.04</v>
      </c>
      <c r="AL705" s="3066">
        <v>839.24</v>
      </c>
      <c r="AM705" s="3066">
        <v>839.24</v>
      </c>
      <c r="AN705" s="3066" t="s">
        <v>3560</v>
      </c>
      <c r="AP705" s="3068">
        <f t="shared" si="10"/>
        <v>20</v>
      </c>
    </row>
    <row r="706" spans="2:42" ht="27" customHeight="1">
      <c r="B706" s="3066">
        <v>714</v>
      </c>
      <c r="C706" s="3066" t="s">
        <v>5748</v>
      </c>
      <c r="D706" s="3066" t="s">
        <v>3915</v>
      </c>
      <c r="E706" s="3066" t="s">
        <v>5811</v>
      </c>
      <c r="F706" s="3066" t="s">
        <v>3917</v>
      </c>
      <c r="G706" s="3066" t="s">
        <v>1373</v>
      </c>
      <c r="H706" s="3066" t="s">
        <v>3560</v>
      </c>
      <c r="I706" s="3066" t="s">
        <v>5797</v>
      </c>
      <c r="J706" s="3066" t="s">
        <v>5798</v>
      </c>
      <c r="K706" s="3066" t="s">
        <v>3560</v>
      </c>
      <c r="L706" s="3066" t="s">
        <v>5799</v>
      </c>
      <c r="M706" s="3066" t="s">
        <v>5812</v>
      </c>
      <c r="N706" s="3066">
        <v>35.6</v>
      </c>
      <c r="O706" s="3066" t="s">
        <v>3619</v>
      </c>
      <c r="P706" s="3066" t="s">
        <v>3566</v>
      </c>
      <c r="Q706" s="3066">
        <v>1</v>
      </c>
      <c r="R706" s="3066">
        <v>0</v>
      </c>
      <c r="S706" s="3066" t="s">
        <v>3577</v>
      </c>
      <c r="T706" s="3066">
        <v>20</v>
      </c>
      <c r="U706" s="3066">
        <v>712</v>
      </c>
      <c r="V706" s="3066" t="s">
        <v>3560</v>
      </c>
      <c r="W706" s="3066" t="s">
        <v>3568</v>
      </c>
      <c r="X706" s="3066">
        <v>2</v>
      </c>
      <c r="Y706" s="3066">
        <v>854.4</v>
      </c>
      <c r="Z706" s="3066" t="s">
        <v>3568</v>
      </c>
      <c r="AA706" s="3066" t="s">
        <v>3560</v>
      </c>
      <c r="AB706" s="3066" t="s">
        <v>3584</v>
      </c>
      <c r="AC706" s="3066" t="s">
        <v>3584</v>
      </c>
      <c r="AD706" s="3066" t="s">
        <v>3584</v>
      </c>
      <c r="AE706" s="3066" t="s">
        <v>3560</v>
      </c>
      <c r="AF706" s="3067">
        <v>712</v>
      </c>
      <c r="AG706" s="3066">
        <v>712</v>
      </c>
      <c r="AH706" s="3066">
        <v>71.2</v>
      </c>
      <c r="AI706" s="3066">
        <v>71.2</v>
      </c>
      <c r="AJ706" s="3066">
        <v>203.32</v>
      </c>
      <c r="AK706" s="3066">
        <v>203.32</v>
      </c>
      <c r="AL706" s="3066">
        <v>986.52</v>
      </c>
      <c r="AM706" s="3066">
        <v>986.52</v>
      </c>
      <c r="AN706" s="3066" t="s">
        <v>3560</v>
      </c>
      <c r="AP706" s="3068">
        <f t="shared" si="10"/>
        <v>20</v>
      </c>
    </row>
    <row r="707" spans="2:42" ht="27" customHeight="1">
      <c r="B707" s="3066">
        <v>715</v>
      </c>
      <c r="C707" s="3066" t="s">
        <v>5748</v>
      </c>
      <c r="D707" s="3066" t="s">
        <v>3915</v>
      </c>
      <c r="E707" s="3066" t="s">
        <v>5813</v>
      </c>
      <c r="F707" s="3066" t="s">
        <v>3917</v>
      </c>
      <c r="G707" s="3066" t="s">
        <v>1373</v>
      </c>
      <c r="H707" s="3066" t="s">
        <v>3560</v>
      </c>
      <c r="I707" s="3066" t="s">
        <v>5797</v>
      </c>
      <c r="J707" s="3066" t="s">
        <v>5798</v>
      </c>
      <c r="K707" s="3066" t="s">
        <v>3560</v>
      </c>
      <c r="L707" s="3066" t="s">
        <v>5799</v>
      </c>
      <c r="M707" s="3066" t="s">
        <v>5814</v>
      </c>
      <c r="N707" s="3066">
        <v>35.6</v>
      </c>
      <c r="O707" s="3066" t="s">
        <v>3619</v>
      </c>
      <c r="P707" s="3066" t="s">
        <v>3566</v>
      </c>
      <c r="Q707" s="3066">
        <v>1</v>
      </c>
      <c r="R707" s="3066">
        <v>0</v>
      </c>
      <c r="S707" s="3066" t="s">
        <v>3577</v>
      </c>
      <c r="T707" s="3066">
        <v>20</v>
      </c>
      <c r="U707" s="3066">
        <v>712</v>
      </c>
      <c r="V707" s="3066" t="s">
        <v>3560</v>
      </c>
      <c r="W707" s="3066" t="s">
        <v>3568</v>
      </c>
      <c r="X707" s="3066">
        <v>2</v>
      </c>
      <c r="Y707" s="3066">
        <v>854.4</v>
      </c>
      <c r="Z707" s="3066" t="s">
        <v>3568</v>
      </c>
      <c r="AA707" s="3066" t="s">
        <v>3560</v>
      </c>
      <c r="AB707" s="3066" t="s">
        <v>3584</v>
      </c>
      <c r="AC707" s="3066" t="s">
        <v>3584</v>
      </c>
      <c r="AD707" s="3066" t="s">
        <v>3584</v>
      </c>
      <c r="AE707" s="3066" t="s">
        <v>3560</v>
      </c>
      <c r="AF707" s="3067">
        <v>712</v>
      </c>
      <c r="AG707" s="3066">
        <v>712</v>
      </c>
      <c r="AH707" s="3066">
        <v>71.2</v>
      </c>
      <c r="AI707" s="3066">
        <v>71.2</v>
      </c>
      <c r="AJ707" s="3066">
        <v>0</v>
      </c>
      <c r="AK707" s="3066">
        <v>0</v>
      </c>
      <c r="AL707" s="3066">
        <v>783.2</v>
      </c>
      <c r="AM707" s="3066">
        <v>783.2</v>
      </c>
      <c r="AN707" s="3066" t="s">
        <v>3560</v>
      </c>
      <c r="AP707" s="3068">
        <f t="shared" si="10"/>
        <v>20</v>
      </c>
    </row>
    <row r="708" spans="2:42" ht="27" customHeight="1">
      <c r="B708" s="3066">
        <v>716</v>
      </c>
      <c r="C708" s="3066" t="s">
        <v>5748</v>
      </c>
      <c r="D708" s="3066" t="s">
        <v>3915</v>
      </c>
      <c r="E708" s="3066" t="s">
        <v>5815</v>
      </c>
      <c r="F708" s="3066" t="s">
        <v>3917</v>
      </c>
      <c r="G708" s="3066" t="s">
        <v>1373</v>
      </c>
      <c r="H708" s="3066" t="s">
        <v>3560</v>
      </c>
      <c r="I708" s="3066" t="s">
        <v>5797</v>
      </c>
      <c r="J708" s="3066" t="s">
        <v>5798</v>
      </c>
      <c r="K708" s="3066" t="s">
        <v>3560</v>
      </c>
      <c r="L708" s="3066" t="s">
        <v>5799</v>
      </c>
      <c r="M708" s="3066" t="s">
        <v>5816</v>
      </c>
      <c r="N708" s="3066">
        <v>35.6</v>
      </c>
      <c r="O708" s="3066" t="s">
        <v>3619</v>
      </c>
      <c r="P708" s="3066" t="s">
        <v>3566</v>
      </c>
      <c r="Q708" s="3066">
        <v>1</v>
      </c>
      <c r="R708" s="3066">
        <v>0</v>
      </c>
      <c r="S708" s="3066" t="s">
        <v>3577</v>
      </c>
      <c r="T708" s="3066">
        <v>20</v>
      </c>
      <c r="U708" s="3066">
        <v>712</v>
      </c>
      <c r="V708" s="3066" t="s">
        <v>3560</v>
      </c>
      <c r="W708" s="3066" t="s">
        <v>3568</v>
      </c>
      <c r="X708" s="3066">
        <v>2</v>
      </c>
      <c r="Y708" s="3066">
        <v>854.4</v>
      </c>
      <c r="Z708" s="3066" t="s">
        <v>3568</v>
      </c>
      <c r="AA708" s="3066" t="s">
        <v>3560</v>
      </c>
      <c r="AB708" s="3066" t="s">
        <v>3584</v>
      </c>
      <c r="AC708" s="3066" t="s">
        <v>3584</v>
      </c>
      <c r="AD708" s="3066" t="s">
        <v>3584</v>
      </c>
      <c r="AE708" s="3066" t="s">
        <v>3560</v>
      </c>
      <c r="AF708" s="3067">
        <v>712</v>
      </c>
      <c r="AG708" s="3066">
        <v>712</v>
      </c>
      <c r="AH708" s="3066">
        <v>71.2</v>
      </c>
      <c r="AI708" s="3066">
        <v>71.2</v>
      </c>
      <c r="AJ708" s="3066">
        <v>1379.87</v>
      </c>
      <c r="AK708" s="3066">
        <v>1379.87</v>
      </c>
      <c r="AL708" s="3066">
        <v>2163.0700000000002</v>
      </c>
      <c r="AM708" s="3066">
        <v>2163.0700000000002</v>
      </c>
      <c r="AN708" s="3066" t="s">
        <v>3560</v>
      </c>
      <c r="AP708" s="3068">
        <f t="shared" ref="AP708:AP771" si="11">AF708/N708</f>
        <v>20</v>
      </c>
    </row>
    <row r="709" spans="2:42" ht="27" customHeight="1">
      <c r="B709" s="3066">
        <v>717</v>
      </c>
      <c r="C709" s="3066" t="s">
        <v>5748</v>
      </c>
      <c r="D709" s="3066" t="s">
        <v>3915</v>
      </c>
      <c r="E709" s="3066" t="s">
        <v>5817</v>
      </c>
      <c r="F709" s="3066" t="s">
        <v>3917</v>
      </c>
      <c r="G709" s="3066" t="s">
        <v>1373</v>
      </c>
      <c r="H709" s="3066" t="s">
        <v>3560</v>
      </c>
      <c r="I709" s="3066" t="s">
        <v>3579</v>
      </c>
      <c r="J709" s="3066" t="s">
        <v>3580</v>
      </c>
      <c r="K709" s="3066" t="s">
        <v>3560</v>
      </c>
      <c r="L709" s="3066" t="s">
        <v>3581</v>
      </c>
      <c r="M709" s="3066" t="s">
        <v>5818</v>
      </c>
      <c r="N709" s="3066">
        <v>35.6</v>
      </c>
      <c r="O709" s="3066" t="s">
        <v>3583</v>
      </c>
      <c r="P709" s="3066" t="s">
        <v>3566</v>
      </c>
      <c r="Q709" s="3066">
        <v>0</v>
      </c>
      <c r="R709" s="3066">
        <v>7280.28</v>
      </c>
      <c r="S709" s="3066" t="s">
        <v>3567</v>
      </c>
      <c r="T709" s="3066">
        <v>20</v>
      </c>
      <c r="U709" s="3066">
        <v>712</v>
      </c>
      <c r="V709" s="3066" t="s">
        <v>3560</v>
      </c>
      <c r="W709" s="3066" t="s">
        <v>3568</v>
      </c>
      <c r="X709" s="3066">
        <v>2</v>
      </c>
      <c r="Y709" s="3066">
        <v>854.4</v>
      </c>
      <c r="Z709" s="3066" t="s">
        <v>3568</v>
      </c>
      <c r="AA709" s="3066" t="s">
        <v>3560</v>
      </c>
      <c r="AB709" s="3066" t="s">
        <v>3584</v>
      </c>
      <c r="AC709" s="3066" t="s">
        <v>3584</v>
      </c>
      <c r="AD709" s="3066" t="s">
        <v>3584</v>
      </c>
      <c r="AE709" s="3066" t="s">
        <v>3560</v>
      </c>
      <c r="AF709" s="3067">
        <v>712</v>
      </c>
      <c r="AG709" s="3066">
        <v>712</v>
      </c>
      <c r="AH709" s="3066">
        <v>71.2</v>
      </c>
      <c r="AI709" s="3066">
        <v>71.2</v>
      </c>
      <c r="AJ709" s="3066">
        <v>60.74</v>
      </c>
      <c r="AK709" s="3066">
        <v>60.74</v>
      </c>
      <c r="AL709" s="3066">
        <v>843.94</v>
      </c>
      <c r="AM709" s="3066">
        <v>843.94</v>
      </c>
      <c r="AN709" s="3066" t="s">
        <v>3560</v>
      </c>
      <c r="AP709" s="3068">
        <f t="shared" si="11"/>
        <v>20</v>
      </c>
    </row>
    <row r="710" spans="2:42" ht="27" customHeight="1">
      <c r="B710" s="3066">
        <v>718</v>
      </c>
      <c r="C710" s="3066" t="s">
        <v>5748</v>
      </c>
      <c r="D710" s="3066" t="s">
        <v>3915</v>
      </c>
      <c r="E710" s="3066" t="s">
        <v>5819</v>
      </c>
      <c r="F710" s="3066" t="s">
        <v>3917</v>
      </c>
      <c r="G710" s="3066" t="s">
        <v>1373</v>
      </c>
      <c r="H710" s="3066" t="s">
        <v>3560</v>
      </c>
      <c r="I710" s="3066" t="s">
        <v>3579</v>
      </c>
      <c r="J710" s="3066" t="s">
        <v>3580</v>
      </c>
      <c r="K710" s="3066" t="s">
        <v>3560</v>
      </c>
      <c r="L710" s="3066" t="s">
        <v>3581</v>
      </c>
      <c r="M710" s="3066" t="s">
        <v>5820</v>
      </c>
      <c r="N710" s="3066">
        <v>35.6</v>
      </c>
      <c r="O710" s="3066" t="s">
        <v>3583</v>
      </c>
      <c r="P710" s="3066" t="s">
        <v>3566</v>
      </c>
      <c r="Q710" s="3066">
        <v>0</v>
      </c>
      <c r="R710" s="3066">
        <v>0</v>
      </c>
      <c r="S710" s="3066" t="s">
        <v>3577</v>
      </c>
      <c r="T710" s="3066">
        <v>20</v>
      </c>
      <c r="U710" s="3066">
        <v>712</v>
      </c>
      <c r="V710" s="3066" t="s">
        <v>3560</v>
      </c>
      <c r="W710" s="3066" t="s">
        <v>3568</v>
      </c>
      <c r="X710" s="3066">
        <v>2</v>
      </c>
      <c r="Y710" s="3066">
        <v>854.4</v>
      </c>
      <c r="Z710" s="3066" t="s">
        <v>3568</v>
      </c>
      <c r="AA710" s="3066" t="s">
        <v>3560</v>
      </c>
      <c r="AB710" s="3066" t="s">
        <v>3584</v>
      </c>
      <c r="AC710" s="3066" t="s">
        <v>3584</v>
      </c>
      <c r="AD710" s="3066" t="s">
        <v>3584</v>
      </c>
      <c r="AE710" s="3066" t="s">
        <v>3560</v>
      </c>
      <c r="AF710" s="3067">
        <v>712</v>
      </c>
      <c r="AG710" s="3066">
        <v>712</v>
      </c>
      <c r="AH710" s="3066">
        <v>71.2</v>
      </c>
      <c r="AI710" s="3066">
        <v>71.2</v>
      </c>
      <c r="AJ710" s="3066">
        <v>23.93</v>
      </c>
      <c r="AK710" s="3066">
        <v>23.93</v>
      </c>
      <c r="AL710" s="3066">
        <v>807.13</v>
      </c>
      <c r="AM710" s="3066">
        <v>807.13</v>
      </c>
      <c r="AN710" s="3066" t="s">
        <v>3560</v>
      </c>
      <c r="AP710" s="3068">
        <f t="shared" si="11"/>
        <v>20</v>
      </c>
    </row>
    <row r="711" spans="2:42" ht="27" customHeight="1">
      <c r="B711" s="3066">
        <v>719</v>
      </c>
      <c r="C711" s="3066" t="s">
        <v>5748</v>
      </c>
      <c r="D711" s="3066" t="s">
        <v>3915</v>
      </c>
      <c r="E711" s="3066" t="s">
        <v>5821</v>
      </c>
      <c r="F711" s="3066" t="s">
        <v>3917</v>
      </c>
      <c r="G711" s="3066" t="s">
        <v>1373</v>
      </c>
      <c r="H711" s="3066" t="s">
        <v>3560</v>
      </c>
      <c r="I711" s="3066" t="s">
        <v>3579</v>
      </c>
      <c r="J711" s="3066" t="s">
        <v>3580</v>
      </c>
      <c r="K711" s="3066" t="s">
        <v>3560</v>
      </c>
      <c r="L711" s="3066" t="s">
        <v>3581</v>
      </c>
      <c r="M711" s="3066" t="s">
        <v>5822</v>
      </c>
      <c r="N711" s="3066">
        <v>35.6</v>
      </c>
      <c r="O711" s="3066" t="s">
        <v>3583</v>
      </c>
      <c r="P711" s="3066" t="s">
        <v>3566</v>
      </c>
      <c r="Q711" s="3066">
        <v>0</v>
      </c>
      <c r="R711" s="3066">
        <v>0</v>
      </c>
      <c r="S711" s="3066" t="s">
        <v>3577</v>
      </c>
      <c r="T711" s="3066">
        <v>20</v>
      </c>
      <c r="U711" s="3066">
        <v>712</v>
      </c>
      <c r="V711" s="3066" t="s">
        <v>3560</v>
      </c>
      <c r="W711" s="3066" t="s">
        <v>3568</v>
      </c>
      <c r="X711" s="3066">
        <v>2</v>
      </c>
      <c r="Y711" s="3066">
        <v>854.4</v>
      </c>
      <c r="Z711" s="3066" t="s">
        <v>3568</v>
      </c>
      <c r="AA711" s="3066" t="s">
        <v>3560</v>
      </c>
      <c r="AB711" s="3066" t="s">
        <v>3584</v>
      </c>
      <c r="AC711" s="3066" t="s">
        <v>3584</v>
      </c>
      <c r="AD711" s="3066" t="s">
        <v>3584</v>
      </c>
      <c r="AE711" s="3066" t="s">
        <v>3560</v>
      </c>
      <c r="AF711" s="3067">
        <v>712</v>
      </c>
      <c r="AG711" s="3066">
        <v>712</v>
      </c>
      <c r="AH711" s="3066">
        <v>71.2</v>
      </c>
      <c r="AI711" s="3066">
        <v>71.2</v>
      </c>
      <c r="AJ711" s="3066">
        <v>28.66</v>
      </c>
      <c r="AK711" s="3066">
        <v>28.66</v>
      </c>
      <c r="AL711" s="3066">
        <v>811.86</v>
      </c>
      <c r="AM711" s="3066">
        <v>811.86</v>
      </c>
      <c r="AN711" s="3066" t="s">
        <v>3560</v>
      </c>
      <c r="AP711" s="3068">
        <f t="shared" si="11"/>
        <v>20</v>
      </c>
    </row>
    <row r="712" spans="2:42" ht="27" customHeight="1">
      <c r="B712" s="3066">
        <v>720</v>
      </c>
      <c r="C712" s="3066" t="s">
        <v>5748</v>
      </c>
      <c r="D712" s="3066" t="s">
        <v>3915</v>
      </c>
      <c r="E712" s="3066" t="s">
        <v>5823</v>
      </c>
      <c r="F712" s="3066" t="s">
        <v>3917</v>
      </c>
      <c r="G712" s="3066" t="s">
        <v>1373</v>
      </c>
      <c r="H712" s="3066" t="s">
        <v>3560</v>
      </c>
      <c r="I712" s="3066" t="s">
        <v>3579</v>
      </c>
      <c r="J712" s="3066" t="s">
        <v>3580</v>
      </c>
      <c r="K712" s="3066" t="s">
        <v>3560</v>
      </c>
      <c r="L712" s="3066" t="s">
        <v>3581</v>
      </c>
      <c r="M712" s="3066" t="s">
        <v>5824</v>
      </c>
      <c r="N712" s="3066">
        <v>39.700000000000003</v>
      </c>
      <c r="O712" s="3066" t="s">
        <v>3583</v>
      </c>
      <c r="P712" s="3066" t="s">
        <v>3566</v>
      </c>
      <c r="Q712" s="3066">
        <v>0</v>
      </c>
      <c r="R712" s="3066">
        <v>0</v>
      </c>
      <c r="S712" s="3066" t="s">
        <v>3577</v>
      </c>
      <c r="T712" s="3066">
        <v>20</v>
      </c>
      <c r="U712" s="3066">
        <v>794</v>
      </c>
      <c r="V712" s="3066" t="s">
        <v>3560</v>
      </c>
      <c r="W712" s="3066" t="s">
        <v>3568</v>
      </c>
      <c r="X712" s="3066">
        <v>2</v>
      </c>
      <c r="Y712" s="3066">
        <v>952.8</v>
      </c>
      <c r="Z712" s="3066" t="s">
        <v>3568</v>
      </c>
      <c r="AA712" s="3066" t="s">
        <v>3560</v>
      </c>
      <c r="AB712" s="3066" t="s">
        <v>3584</v>
      </c>
      <c r="AC712" s="3066" t="s">
        <v>3584</v>
      </c>
      <c r="AD712" s="3066" t="s">
        <v>3584</v>
      </c>
      <c r="AE712" s="3066" t="s">
        <v>3560</v>
      </c>
      <c r="AF712" s="3067">
        <v>794</v>
      </c>
      <c r="AG712" s="3066">
        <v>794</v>
      </c>
      <c r="AH712" s="3066">
        <v>79.400000000000006</v>
      </c>
      <c r="AI712" s="3066">
        <v>79.400000000000006</v>
      </c>
      <c r="AJ712" s="3066">
        <v>185</v>
      </c>
      <c r="AK712" s="3066">
        <v>185</v>
      </c>
      <c r="AL712" s="3066">
        <v>1058.4000000000001</v>
      </c>
      <c r="AM712" s="3066">
        <v>1058.4000000000001</v>
      </c>
      <c r="AN712" s="3066" t="s">
        <v>3560</v>
      </c>
      <c r="AP712" s="3068">
        <f t="shared" si="11"/>
        <v>20</v>
      </c>
    </row>
    <row r="713" spans="2:42" ht="27" customHeight="1">
      <c r="B713" s="3066">
        <v>721</v>
      </c>
      <c r="C713" s="3066" t="s">
        <v>5748</v>
      </c>
      <c r="D713" s="3066" t="s">
        <v>3926</v>
      </c>
      <c r="E713" s="3066" t="s">
        <v>5825</v>
      </c>
      <c r="F713" s="3066" t="s">
        <v>3917</v>
      </c>
      <c r="G713" s="3066" t="s">
        <v>1373</v>
      </c>
      <c r="H713" s="3066" t="s">
        <v>3560</v>
      </c>
      <c r="I713" s="3066" t="s">
        <v>3579</v>
      </c>
      <c r="J713" s="3066" t="s">
        <v>3580</v>
      </c>
      <c r="K713" s="3066" t="s">
        <v>3560</v>
      </c>
      <c r="L713" s="3066" t="s">
        <v>3581</v>
      </c>
      <c r="M713" s="3066" t="s">
        <v>5826</v>
      </c>
      <c r="N713" s="3066">
        <v>431.3</v>
      </c>
      <c r="O713" s="3066" t="s">
        <v>3583</v>
      </c>
      <c r="P713" s="3066" t="s">
        <v>3566</v>
      </c>
      <c r="Q713" s="3066">
        <v>0</v>
      </c>
      <c r="R713" s="3066">
        <v>0</v>
      </c>
      <c r="S713" s="3066" t="s">
        <v>3577</v>
      </c>
      <c r="T713" s="3066">
        <v>20</v>
      </c>
      <c r="U713" s="3066">
        <v>8626</v>
      </c>
      <c r="V713" s="3066" t="s">
        <v>3560</v>
      </c>
      <c r="W713" s="3066" t="s">
        <v>3568</v>
      </c>
      <c r="X713" s="3066">
        <v>2</v>
      </c>
      <c r="Y713" s="3066">
        <v>10351.200000000001</v>
      </c>
      <c r="Z713" s="3066" t="s">
        <v>3568</v>
      </c>
      <c r="AA713" s="3066" t="s">
        <v>3560</v>
      </c>
      <c r="AB713" s="3066" t="s">
        <v>3584</v>
      </c>
      <c r="AC713" s="3066" t="s">
        <v>3584</v>
      </c>
      <c r="AD713" s="3066" t="s">
        <v>3584</v>
      </c>
      <c r="AE713" s="3066" t="s">
        <v>3560</v>
      </c>
      <c r="AF713" s="3067">
        <v>8626</v>
      </c>
      <c r="AG713" s="3066">
        <v>8626</v>
      </c>
      <c r="AH713" s="3066">
        <v>862.6</v>
      </c>
      <c r="AI713" s="3066">
        <v>862.6</v>
      </c>
      <c r="AJ713" s="3066">
        <v>1263.3399999999999</v>
      </c>
      <c r="AK713" s="3066">
        <v>1263.3399999999999</v>
      </c>
      <c r="AL713" s="3066">
        <v>10751.94</v>
      </c>
      <c r="AM713" s="3066">
        <v>10751.94</v>
      </c>
      <c r="AN713" s="3066" t="s">
        <v>3560</v>
      </c>
      <c r="AP713" s="3068">
        <f t="shared" si="11"/>
        <v>20</v>
      </c>
    </row>
    <row r="714" spans="2:42" ht="27" customHeight="1">
      <c r="B714" s="3066">
        <v>722</v>
      </c>
      <c r="C714" s="3066" t="s">
        <v>3214</v>
      </c>
      <c r="D714" s="3066" t="s">
        <v>4019</v>
      </c>
      <c r="E714" s="3066" t="s">
        <v>5827</v>
      </c>
      <c r="F714" s="3066" t="s">
        <v>3917</v>
      </c>
      <c r="G714" s="3066" t="s">
        <v>1373</v>
      </c>
      <c r="H714" s="3066" t="s">
        <v>3560</v>
      </c>
      <c r="I714" s="3066" t="s">
        <v>5828</v>
      </c>
      <c r="J714" s="3066" t="s">
        <v>3560</v>
      </c>
      <c r="K714" s="3066" t="s">
        <v>3560</v>
      </c>
      <c r="L714" s="3066" t="s">
        <v>5829</v>
      </c>
      <c r="M714" s="3066" t="s">
        <v>5830</v>
      </c>
      <c r="N714" s="3066">
        <v>35</v>
      </c>
      <c r="O714" s="3066" t="s">
        <v>3619</v>
      </c>
      <c r="P714" s="3066" t="s">
        <v>3566</v>
      </c>
      <c r="Q714" s="3066">
        <v>1</v>
      </c>
      <c r="R714" s="3066">
        <v>4680</v>
      </c>
      <c r="S714" s="3066" t="s">
        <v>3567</v>
      </c>
      <c r="T714" s="3066">
        <v>20</v>
      </c>
      <c r="U714" s="3066">
        <v>700</v>
      </c>
      <c r="V714" s="3066" t="s">
        <v>3560</v>
      </c>
      <c r="W714" s="3066" t="s">
        <v>3568</v>
      </c>
      <c r="X714" s="3066">
        <v>2.29</v>
      </c>
      <c r="Y714" s="3066">
        <v>960</v>
      </c>
      <c r="Z714" s="3066" t="s">
        <v>3568</v>
      </c>
      <c r="AA714" s="3066" t="s">
        <v>3560</v>
      </c>
      <c r="AB714" s="3066" t="s">
        <v>3584</v>
      </c>
      <c r="AC714" s="3066" t="s">
        <v>3584</v>
      </c>
      <c r="AD714" s="3066" t="s">
        <v>3584</v>
      </c>
      <c r="AE714" s="3066" t="s">
        <v>3560</v>
      </c>
      <c r="AF714" s="3067">
        <v>700</v>
      </c>
      <c r="AG714" s="3066">
        <v>0</v>
      </c>
      <c r="AH714" s="3066">
        <v>80</v>
      </c>
      <c r="AI714" s="3066">
        <v>0</v>
      </c>
      <c r="AJ714" s="3066">
        <v>1.19</v>
      </c>
      <c r="AK714" s="3066">
        <v>0</v>
      </c>
      <c r="AL714" s="3066">
        <v>781.19</v>
      </c>
      <c r="AM714" s="3066">
        <v>0</v>
      </c>
      <c r="AN714" s="3066" t="s">
        <v>3560</v>
      </c>
      <c r="AP714" s="3068">
        <f t="shared" si="11"/>
        <v>20</v>
      </c>
    </row>
    <row r="715" spans="2:42" ht="27" customHeight="1">
      <c r="B715" s="3066">
        <v>723</v>
      </c>
      <c r="C715" s="3066" t="s">
        <v>3214</v>
      </c>
      <c r="D715" s="3066" t="s">
        <v>4019</v>
      </c>
      <c r="E715" s="3066" t="s">
        <v>5831</v>
      </c>
      <c r="F715" s="3066" t="s">
        <v>3917</v>
      </c>
      <c r="G715" s="3066" t="s">
        <v>1373</v>
      </c>
      <c r="H715" s="3066" t="s">
        <v>3560</v>
      </c>
      <c r="I715" s="3066" t="s">
        <v>5828</v>
      </c>
      <c r="J715" s="3066" t="s">
        <v>3560</v>
      </c>
      <c r="K715" s="3066" t="s">
        <v>3560</v>
      </c>
      <c r="L715" s="3066" t="s">
        <v>5829</v>
      </c>
      <c r="M715" s="3066" t="s">
        <v>5832</v>
      </c>
      <c r="N715" s="3066">
        <v>35</v>
      </c>
      <c r="O715" s="3066" t="s">
        <v>3619</v>
      </c>
      <c r="P715" s="3066" t="s">
        <v>3566</v>
      </c>
      <c r="Q715" s="3066">
        <v>1</v>
      </c>
      <c r="R715" s="3066">
        <v>0</v>
      </c>
      <c r="S715" s="3066" t="s">
        <v>3577</v>
      </c>
      <c r="T715" s="3066">
        <v>20</v>
      </c>
      <c r="U715" s="3066">
        <v>700</v>
      </c>
      <c r="V715" s="3066" t="s">
        <v>3560</v>
      </c>
      <c r="W715" s="3066" t="s">
        <v>3568</v>
      </c>
      <c r="X715" s="3066">
        <v>2.29</v>
      </c>
      <c r="Y715" s="3066">
        <v>960</v>
      </c>
      <c r="Z715" s="3066" t="s">
        <v>3568</v>
      </c>
      <c r="AA715" s="3066" t="s">
        <v>3560</v>
      </c>
      <c r="AB715" s="3066" t="s">
        <v>3584</v>
      </c>
      <c r="AC715" s="3066" t="s">
        <v>3584</v>
      </c>
      <c r="AD715" s="3066" t="s">
        <v>3584</v>
      </c>
      <c r="AE715" s="3066" t="s">
        <v>3560</v>
      </c>
      <c r="AF715" s="3067">
        <v>700</v>
      </c>
      <c r="AG715" s="3066">
        <v>0</v>
      </c>
      <c r="AH715" s="3066">
        <v>80</v>
      </c>
      <c r="AI715" s="3066">
        <v>0</v>
      </c>
      <c r="AJ715" s="3066">
        <v>53.54</v>
      </c>
      <c r="AK715" s="3066">
        <v>0</v>
      </c>
      <c r="AL715" s="3066">
        <v>833.54</v>
      </c>
      <c r="AM715" s="3066">
        <v>0</v>
      </c>
      <c r="AN715" s="3066" t="s">
        <v>3560</v>
      </c>
      <c r="AP715" s="3068">
        <f t="shared" si="11"/>
        <v>20</v>
      </c>
    </row>
    <row r="716" spans="2:42" ht="27" customHeight="1">
      <c r="B716" s="3066">
        <v>724</v>
      </c>
      <c r="C716" s="3066" t="s">
        <v>3214</v>
      </c>
      <c r="D716" s="3066" t="s">
        <v>4019</v>
      </c>
      <c r="E716" s="3066" t="s">
        <v>5833</v>
      </c>
      <c r="F716" s="3066" t="s">
        <v>3917</v>
      </c>
      <c r="G716" s="3066" t="s">
        <v>3560</v>
      </c>
      <c r="H716" s="3066" t="s">
        <v>3560</v>
      </c>
      <c r="I716" s="3066" t="s">
        <v>5834</v>
      </c>
      <c r="J716" s="3066" t="s">
        <v>5834</v>
      </c>
      <c r="K716" s="3066" t="s">
        <v>3560</v>
      </c>
      <c r="L716" s="3066" t="s">
        <v>5835</v>
      </c>
      <c r="M716" s="3066" t="s">
        <v>5836</v>
      </c>
      <c r="N716" s="3066">
        <v>35</v>
      </c>
      <c r="O716" s="3066" t="s">
        <v>3619</v>
      </c>
      <c r="P716" s="3066" t="s">
        <v>3566</v>
      </c>
      <c r="Q716" s="3066">
        <v>1</v>
      </c>
      <c r="R716" s="3066">
        <v>2340</v>
      </c>
      <c r="S716" s="3066" t="s">
        <v>3567</v>
      </c>
      <c r="T716" s="3066">
        <v>21</v>
      </c>
      <c r="U716" s="3066">
        <v>735</v>
      </c>
      <c r="V716" s="3066" t="s">
        <v>3560</v>
      </c>
      <c r="W716" s="3066" t="s">
        <v>3568</v>
      </c>
      <c r="X716" s="3066">
        <v>2.29</v>
      </c>
      <c r="Y716" s="3066">
        <v>960</v>
      </c>
      <c r="Z716" s="3066" t="s">
        <v>3568</v>
      </c>
      <c r="AA716" s="3066" t="s">
        <v>3560</v>
      </c>
      <c r="AB716" s="3066" t="s">
        <v>3584</v>
      </c>
      <c r="AC716" s="3066" t="s">
        <v>3584</v>
      </c>
      <c r="AD716" s="3066" t="s">
        <v>3584</v>
      </c>
      <c r="AE716" s="3066" t="s">
        <v>3560</v>
      </c>
      <c r="AF716" s="3067">
        <v>735</v>
      </c>
      <c r="AG716" s="3066">
        <v>735</v>
      </c>
      <c r="AH716" s="3066">
        <v>80</v>
      </c>
      <c r="AI716" s="3066">
        <v>80</v>
      </c>
      <c r="AJ716" s="3066">
        <v>62.81</v>
      </c>
      <c r="AK716" s="3066">
        <v>62.81</v>
      </c>
      <c r="AL716" s="3066">
        <v>877.81</v>
      </c>
      <c r="AM716" s="3066">
        <v>877.81</v>
      </c>
      <c r="AN716" s="3066" t="s">
        <v>3560</v>
      </c>
      <c r="AP716" s="3068">
        <f t="shared" si="11"/>
        <v>21</v>
      </c>
    </row>
    <row r="717" spans="2:42" ht="27" customHeight="1">
      <c r="B717" s="3066">
        <v>725</v>
      </c>
      <c r="C717" s="3066" t="s">
        <v>3214</v>
      </c>
      <c r="D717" s="3066" t="s">
        <v>4019</v>
      </c>
      <c r="E717" s="3066" t="s">
        <v>5837</v>
      </c>
      <c r="F717" s="3066" t="s">
        <v>3917</v>
      </c>
      <c r="G717" s="3066" t="s">
        <v>3560</v>
      </c>
      <c r="H717" s="3066" t="s">
        <v>3560</v>
      </c>
      <c r="I717" s="3066" t="s">
        <v>5838</v>
      </c>
      <c r="J717" s="3066" t="s">
        <v>5838</v>
      </c>
      <c r="K717" s="3066" t="s">
        <v>3560</v>
      </c>
      <c r="L717" s="3066" t="s">
        <v>5839</v>
      </c>
      <c r="M717" s="3066" t="s">
        <v>5840</v>
      </c>
      <c r="N717" s="3066">
        <v>35</v>
      </c>
      <c r="O717" s="3066" t="s">
        <v>5211</v>
      </c>
      <c r="P717" s="3066" t="s">
        <v>3566</v>
      </c>
      <c r="Q717" s="3066">
        <v>1</v>
      </c>
      <c r="R717" s="3066">
        <v>2500</v>
      </c>
      <c r="S717" s="3066" t="s">
        <v>3567</v>
      </c>
      <c r="T717" s="3066">
        <v>21</v>
      </c>
      <c r="U717" s="3066">
        <v>735</v>
      </c>
      <c r="V717" s="3066" t="s">
        <v>3560</v>
      </c>
      <c r="W717" s="3066" t="s">
        <v>3568</v>
      </c>
      <c r="X717" s="3066">
        <v>2.29</v>
      </c>
      <c r="Y717" s="3066">
        <v>960</v>
      </c>
      <c r="Z717" s="3066" t="s">
        <v>3568</v>
      </c>
      <c r="AA717" s="3066" t="s">
        <v>3560</v>
      </c>
      <c r="AB717" s="3066" t="s">
        <v>3943</v>
      </c>
      <c r="AC717" s="3066" t="s">
        <v>3943</v>
      </c>
      <c r="AD717" s="3066" t="s">
        <v>3943</v>
      </c>
      <c r="AE717" s="3066" t="s">
        <v>3560</v>
      </c>
      <c r="AF717" s="3067">
        <v>735</v>
      </c>
      <c r="AG717" s="3066">
        <v>735</v>
      </c>
      <c r="AH717" s="3066">
        <v>80</v>
      </c>
      <c r="AI717" s="3066">
        <v>80</v>
      </c>
      <c r="AJ717" s="3066">
        <v>24.82</v>
      </c>
      <c r="AK717" s="3066">
        <v>24.82</v>
      </c>
      <c r="AL717" s="3066">
        <v>839.82</v>
      </c>
      <c r="AM717" s="3066">
        <v>839.82</v>
      </c>
      <c r="AN717" s="3066" t="s">
        <v>3560</v>
      </c>
      <c r="AP717" s="3068">
        <f t="shared" si="11"/>
        <v>21</v>
      </c>
    </row>
    <row r="718" spans="2:42" ht="27" customHeight="1">
      <c r="B718" s="3066">
        <v>726</v>
      </c>
      <c r="C718" s="3066" t="s">
        <v>3214</v>
      </c>
      <c r="D718" s="3066" t="s">
        <v>4019</v>
      </c>
      <c r="E718" s="3066" t="s">
        <v>5841</v>
      </c>
      <c r="F718" s="3066" t="s">
        <v>3917</v>
      </c>
      <c r="G718" s="3066" t="s">
        <v>1373</v>
      </c>
      <c r="H718" s="3066" t="s">
        <v>3560</v>
      </c>
      <c r="I718" s="3066" t="s">
        <v>3570</v>
      </c>
      <c r="J718" s="3066" t="s">
        <v>3571</v>
      </c>
      <c r="K718" s="3066" t="s">
        <v>3560</v>
      </c>
      <c r="L718" s="3066" t="s">
        <v>3572</v>
      </c>
      <c r="M718" s="3066" t="s">
        <v>5842</v>
      </c>
      <c r="N718" s="3066">
        <v>35</v>
      </c>
      <c r="O718" s="3066" t="s">
        <v>3608</v>
      </c>
      <c r="P718" s="3066" t="s">
        <v>3566</v>
      </c>
      <c r="Q718" s="3066">
        <v>1</v>
      </c>
      <c r="R718" s="3066">
        <v>4620</v>
      </c>
      <c r="S718" s="3066" t="s">
        <v>3567</v>
      </c>
      <c r="T718" s="3066">
        <v>20</v>
      </c>
      <c r="U718" s="3066">
        <v>700</v>
      </c>
      <c r="V718" s="3066" t="s">
        <v>3560</v>
      </c>
      <c r="W718" s="3066" t="s">
        <v>3568</v>
      </c>
      <c r="X718" s="3066">
        <v>2</v>
      </c>
      <c r="Y718" s="3066">
        <v>840</v>
      </c>
      <c r="Z718" s="3066" t="s">
        <v>3568</v>
      </c>
      <c r="AA718" s="3066" t="s">
        <v>3560</v>
      </c>
      <c r="AB718" s="3066" t="s">
        <v>3609</v>
      </c>
      <c r="AC718" s="3066" t="s">
        <v>3609</v>
      </c>
      <c r="AD718" s="3066" t="s">
        <v>3609</v>
      </c>
      <c r="AE718" s="3066" t="s">
        <v>3560</v>
      </c>
      <c r="AF718" s="3067">
        <v>700</v>
      </c>
      <c r="AG718" s="3066">
        <v>0</v>
      </c>
      <c r="AH718" s="3066">
        <v>70</v>
      </c>
      <c r="AI718" s="3066">
        <v>0</v>
      </c>
      <c r="AJ718" s="3066">
        <v>26.38</v>
      </c>
      <c r="AK718" s="3066">
        <v>0</v>
      </c>
      <c r="AL718" s="3066">
        <v>796.38</v>
      </c>
      <c r="AM718" s="3066">
        <v>0</v>
      </c>
      <c r="AN718" s="3066" t="s">
        <v>3560</v>
      </c>
      <c r="AP718" s="3068">
        <f t="shared" si="11"/>
        <v>20</v>
      </c>
    </row>
    <row r="719" spans="2:42" ht="27" customHeight="1">
      <c r="B719" s="3066">
        <v>727</v>
      </c>
      <c r="C719" s="3066" t="s">
        <v>3214</v>
      </c>
      <c r="D719" s="3066" t="s">
        <v>4019</v>
      </c>
      <c r="E719" s="3066" t="s">
        <v>5843</v>
      </c>
      <c r="F719" s="3066" t="s">
        <v>3917</v>
      </c>
      <c r="G719" s="3066" t="s">
        <v>1373</v>
      </c>
      <c r="H719" s="3066" t="s">
        <v>3560</v>
      </c>
      <c r="I719" s="3066" t="s">
        <v>3570</v>
      </c>
      <c r="J719" s="3066" t="s">
        <v>3571</v>
      </c>
      <c r="K719" s="3066" t="s">
        <v>3560</v>
      </c>
      <c r="L719" s="3066" t="s">
        <v>3572</v>
      </c>
      <c r="M719" s="3066" t="s">
        <v>5844</v>
      </c>
      <c r="N719" s="3066">
        <v>35</v>
      </c>
      <c r="O719" s="3066" t="s">
        <v>3608</v>
      </c>
      <c r="P719" s="3066" t="s">
        <v>3566</v>
      </c>
      <c r="Q719" s="3066">
        <v>1</v>
      </c>
      <c r="R719" s="3066">
        <v>0</v>
      </c>
      <c r="S719" s="3066" t="s">
        <v>3577</v>
      </c>
      <c r="T719" s="3066">
        <v>20</v>
      </c>
      <c r="U719" s="3066">
        <v>700</v>
      </c>
      <c r="V719" s="3066" t="s">
        <v>3560</v>
      </c>
      <c r="W719" s="3066" t="s">
        <v>3568</v>
      </c>
      <c r="X719" s="3066">
        <v>2</v>
      </c>
      <c r="Y719" s="3066">
        <v>840</v>
      </c>
      <c r="Z719" s="3066" t="s">
        <v>3568</v>
      </c>
      <c r="AA719" s="3066" t="s">
        <v>3560</v>
      </c>
      <c r="AB719" s="3066" t="s">
        <v>3609</v>
      </c>
      <c r="AC719" s="3066" t="s">
        <v>3609</v>
      </c>
      <c r="AD719" s="3066" t="s">
        <v>3609</v>
      </c>
      <c r="AE719" s="3066" t="s">
        <v>3560</v>
      </c>
      <c r="AF719" s="3067">
        <v>700</v>
      </c>
      <c r="AG719" s="3066">
        <v>0</v>
      </c>
      <c r="AH719" s="3066">
        <v>70</v>
      </c>
      <c r="AI719" s="3066">
        <v>0</v>
      </c>
      <c r="AJ719" s="3066">
        <v>35.03</v>
      </c>
      <c r="AK719" s="3066">
        <v>0</v>
      </c>
      <c r="AL719" s="3066">
        <v>805.03</v>
      </c>
      <c r="AM719" s="3066">
        <v>0</v>
      </c>
      <c r="AN719" s="3066" t="s">
        <v>3560</v>
      </c>
      <c r="AP719" s="3068">
        <f t="shared" si="11"/>
        <v>20</v>
      </c>
    </row>
    <row r="720" spans="2:42" ht="27" customHeight="1">
      <c r="B720" s="3066">
        <v>728</v>
      </c>
      <c r="C720" s="3066" t="s">
        <v>3214</v>
      </c>
      <c r="D720" s="3066" t="s">
        <v>4019</v>
      </c>
      <c r="E720" s="3066" t="s">
        <v>5845</v>
      </c>
      <c r="F720" s="3066" t="s">
        <v>3917</v>
      </c>
      <c r="G720" s="3066" t="s">
        <v>1373</v>
      </c>
      <c r="H720" s="3066" t="s">
        <v>3560</v>
      </c>
      <c r="I720" s="3066" t="s">
        <v>3788</v>
      </c>
      <c r="J720" s="3066" t="s">
        <v>3560</v>
      </c>
      <c r="K720" s="3066" t="s">
        <v>3560</v>
      </c>
      <c r="L720" s="3066" t="s">
        <v>3789</v>
      </c>
      <c r="M720" s="3066" t="s">
        <v>5846</v>
      </c>
      <c r="N720" s="3066">
        <v>35</v>
      </c>
      <c r="O720" s="3066" t="s">
        <v>3939</v>
      </c>
      <c r="P720" s="3066" t="s">
        <v>3940</v>
      </c>
      <c r="Q720" s="3066">
        <v>1</v>
      </c>
      <c r="R720" s="3066">
        <v>2445</v>
      </c>
      <c r="S720" s="3066" t="s">
        <v>3567</v>
      </c>
      <c r="T720" s="3066">
        <v>20</v>
      </c>
      <c r="U720" s="3066">
        <v>700</v>
      </c>
      <c r="V720" s="3066" t="s">
        <v>3560</v>
      </c>
      <c r="W720" s="3066" t="s">
        <v>3568</v>
      </c>
      <c r="X720" s="3066">
        <v>2.29</v>
      </c>
      <c r="Y720" s="3066">
        <v>960</v>
      </c>
      <c r="Z720" s="3066" t="s">
        <v>3568</v>
      </c>
      <c r="AA720" s="3066" t="s">
        <v>3560</v>
      </c>
      <c r="AB720" s="3066" t="s">
        <v>3941</v>
      </c>
      <c r="AC720" s="3066" t="s">
        <v>3941</v>
      </c>
      <c r="AD720" s="3066" t="s">
        <v>3941</v>
      </c>
      <c r="AE720" s="3066" t="s">
        <v>3560</v>
      </c>
      <c r="AF720" s="3067">
        <v>700</v>
      </c>
      <c r="AG720" s="3066">
        <v>0</v>
      </c>
      <c r="AH720" s="3066">
        <v>80</v>
      </c>
      <c r="AI720" s="3066">
        <v>0</v>
      </c>
      <c r="AJ720" s="3066">
        <v>84.13</v>
      </c>
      <c r="AK720" s="3066">
        <v>0</v>
      </c>
      <c r="AL720" s="3066">
        <v>864.13</v>
      </c>
      <c r="AM720" s="3066">
        <v>0</v>
      </c>
      <c r="AN720" s="3066" t="s">
        <v>3560</v>
      </c>
      <c r="AP720" s="3068">
        <f t="shared" si="11"/>
        <v>20</v>
      </c>
    </row>
    <row r="721" spans="2:42" ht="27" customHeight="1">
      <c r="B721" s="3066">
        <v>729</v>
      </c>
      <c r="C721" s="3066" t="s">
        <v>3214</v>
      </c>
      <c r="D721" s="3066" t="s">
        <v>4019</v>
      </c>
      <c r="E721" s="3066" t="s">
        <v>5845</v>
      </c>
      <c r="F721" s="3066" t="s">
        <v>3917</v>
      </c>
      <c r="G721" s="3066" t="s">
        <v>1373</v>
      </c>
      <c r="H721" s="3066" t="s">
        <v>3560</v>
      </c>
      <c r="I721" s="3066" t="s">
        <v>3788</v>
      </c>
      <c r="J721" s="3066" t="s">
        <v>3560</v>
      </c>
      <c r="K721" s="3066" t="s">
        <v>3560</v>
      </c>
      <c r="L721" s="3066" t="s">
        <v>3789</v>
      </c>
      <c r="M721" s="3066" t="s">
        <v>5846</v>
      </c>
      <c r="N721" s="3066">
        <v>35</v>
      </c>
      <c r="O721" s="3066" t="s">
        <v>5211</v>
      </c>
      <c r="P721" s="3066" t="s">
        <v>3566</v>
      </c>
      <c r="Q721" s="3066">
        <v>1</v>
      </c>
      <c r="R721" s="3066">
        <v>2445</v>
      </c>
      <c r="S721" s="3066" t="s">
        <v>3567</v>
      </c>
      <c r="T721" s="3066">
        <v>21</v>
      </c>
      <c r="U721" s="3066">
        <v>735</v>
      </c>
      <c r="V721" s="3066" t="s">
        <v>3560</v>
      </c>
      <c r="W721" s="3066" t="s">
        <v>3568</v>
      </c>
      <c r="X721" s="3066">
        <v>2.29</v>
      </c>
      <c r="Y721" s="3066">
        <v>960</v>
      </c>
      <c r="Z721" s="3066" t="s">
        <v>3568</v>
      </c>
      <c r="AA721" s="3066" t="s">
        <v>3560</v>
      </c>
      <c r="AB721" s="3066" t="s">
        <v>3943</v>
      </c>
      <c r="AC721" s="3066" t="s">
        <v>3943</v>
      </c>
      <c r="AD721" s="3066" t="s">
        <v>3943</v>
      </c>
      <c r="AE721" s="3066" t="s">
        <v>3560</v>
      </c>
      <c r="AF721" s="3067">
        <v>700</v>
      </c>
      <c r="AG721" s="3066">
        <v>0</v>
      </c>
      <c r="AH721" s="3066">
        <v>80</v>
      </c>
      <c r="AI721" s="3066">
        <v>0</v>
      </c>
      <c r="AJ721" s="3066">
        <v>84.13</v>
      </c>
      <c r="AK721" s="3066">
        <v>0</v>
      </c>
      <c r="AL721" s="3066">
        <v>864.13</v>
      </c>
      <c r="AM721" s="3066">
        <v>0</v>
      </c>
      <c r="AN721" s="3066" t="s">
        <v>3560</v>
      </c>
      <c r="AP721" s="3068">
        <f t="shared" si="11"/>
        <v>20</v>
      </c>
    </row>
    <row r="722" spans="2:42" ht="27" customHeight="1">
      <c r="B722" s="3066">
        <v>730</v>
      </c>
      <c r="C722" s="3066" t="s">
        <v>3214</v>
      </c>
      <c r="D722" s="3066" t="s">
        <v>4019</v>
      </c>
      <c r="E722" s="3066" t="s">
        <v>5847</v>
      </c>
      <c r="F722" s="3066" t="s">
        <v>3917</v>
      </c>
      <c r="G722" s="3066" t="s">
        <v>1373</v>
      </c>
      <c r="H722" s="3066" t="s">
        <v>3560</v>
      </c>
      <c r="I722" s="3066" t="s">
        <v>3787</v>
      </c>
      <c r="J722" s="3066" t="s">
        <v>3788</v>
      </c>
      <c r="K722" s="3066" t="s">
        <v>3560</v>
      </c>
      <c r="L722" s="3066" t="s">
        <v>3789</v>
      </c>
      <c r="M722" s="3066" t="s">
        <v>5848</v>
      </c>
      <c r="N722" s="3066">
        <v>35</v>
      </c>
      <c r="O722" s="3066" t="s">
        <v>3744</v>
      </c>
      <c r="P722" s="3066" t="s">
        <v>3566</v>
      </c>
      <c r="Q722" s="3066">
        <v>1</v>
      </c>
      <c r="R722" s="3066">
        <v>0</v>
      </c>
      <c r="S722" s="3066" t="s">
        <v>3577</v>
      </c>
      <c r="T722" s="3066">
        <v>20</v>
      </c>
      <c r="U722" s="3066">
        <v>700</v>
      </c>
      <c r="V722" s="3066" t="s">
        <v>3560</v>
      </c>
      <c r="W722" s="3066" t="s">
        <v>3568</v>
      </c>
      <c r="X722" s="3066">
        <v>2</v>
      </c>
      <c r="Y722" s="3066">
        <v>840</v>
      </c>
      <c r="Z722" s="3066" t="s">
        <v>3568</v>
      </c>
      <c r="AA722" s="3066" t="s">
        <v>3560</v>
      </c>
      <c r="AB722" s="3066" t="s">
        <v>3746</v>
      </c>
      <c r="AC722" s="3066" t="s">
        <v>3746</v>
      </c>
      <c r="AD722" s="3066" t="s">
        <v>3746</v>
      </c>
      <c r="AE722" s="3066" t="s">
        <v>3560</v>
      </c>
      <c r="AF722" s="3067">
        <v>700</v>
      </c>
      <c r="AG722" s="3066">
        <v>0</v>
      </c>
      <c r="AH722" s="3066">
        <v>70</v>
      </c>
      <c r="AI722" s="3066">
        <v>0</v>
      </c>
      <c r="AJ722" s="3066">
        <v>40.28</v>
      </c>
      <c r="AK722" s="3066">
        <v>0</v>
      </c>
      <c r="AL722" s="3066">
        <v>810.28</v>
      </c>
      <c r="AM722" s="3066">
        <v>0</v>
      </c>
      <c r="AN722" s="3066" t="s">
        <v>3560</v>
      </c>
      <c r="AP722" s="3068">
        <f t="shared" si="11"/>
        <v>20</v>
      </c>
    </row>
    <row r="723" spans="2:42" ht="27" customHeight="1">
      <c r="B723" s="3066">
        <v>731</v>
      </c>
      <c r="C723" s="3066" t="s">
        <v>3214</v>
      </c>
      <c r="D723" s="3066" t="s">
        <v>4019</v>
      </c>
      <c r="E723" s="3066" t="s">
        <v>5849</v>
      </c>
      <c r="F723" s="3066" t="s">
        <v>3917</v>
      </c>
      <c r="G723" s="3066" t="s">
        <v>1373</v>
      </c>
      <c r="H723" s="3066" t="s">
        <v>3560</v>
      </c>
      <c r="I723" s="3066" t="s">
        <v>3787</v>
      </c>
      <c r="J723" s="3066" t="s">
        <v>3788</v>
      </c>
      <c r="K723" s="3066" t="s">
        <v>3560</v>
      </c>
      <c r="L723" s="3066" t="s">
        <v>3789</v>
      </c>
      <c r="M723" s="3066" t="s">
        <v>5850</v>
      </c>
      <c r="N723" s="3066">
        <v>35</v>
      </c>
      <c r="O723" s="3066" t="s">
        <v>3744</v>
      </c>
      <c r="P723" s="3066" t="s">
        <v>3566</v>
      </c>
      <c r="Q723" s="3066">
        <v>1</v>
      </c>
      <c r="R723" s="3066">
        <v>0</v>
      </c>
      <c r="S723" s="3066" t="s">
        <v>3577</v>
      </c>
      <c r="T723" s="3066">
        <v>20</v>
      </c>
      <c r="U723" s="3066">
        <v>700</v>
      </c>
      <c r="V723" s="3066" t="s">
        <v>3560</v>
      </c>
      <c r="W723" s="3066" t="s">
        <v>3568</v>
      </c>
      <c r="X723" s="3066">
        <v>2</v>
      </c>
      <c r="Y723" s="3066">
        <v>840</v>
      </c>
      <c r="Z723" s="3066" t="s">
        <v>3568</v>
      </c>
      <c r="AA723" s="3066" t="s">
        <v>3560</v>
      </c>
      <c r="AB723" s="3066" t="s">
        <v>3746</v>
      </c>
      <c r="AC723" s="3066" t="s">
        <v>3746</v>
      </c>
      <c r="AD723" s="3066" t="s">
        <v>3746</v>
      </c>
      <c r="AE723" s="3066" t="s">
        <v>3560</v>
      </c>
      <c r="AF723" s="3067">
        <v>700</v>
      </c>
      <c r="AG723" s="3066">
        <v>0</v>
      </c>
      <c r="AH723" s="3066">
        <v>70</v>
      </c>
      <c r="AI723" s="3066">
        <v>0</v>
      </c>
      <c r="AJ723" s="3066">
        <v>67.650000000000006</v>
      </c>
      <c r="AK723" s="3066">
        <v>0</v>
      </c>
      <c r="AL723" s="3066">
        <v>837.65</v>
      </c>
      <c r="AM723" s="3066">
        <v>0</v>
      </c>
      <c r="AN723" s="3066" t="s">
        <v>3560</v>
      </c>
      <c r="AP723" s="3068">
        <f t="shared" si="11"/>
        <v>20</v>
      </c>
    </row>
    <row r="724" spans="2:42" ht="27" customHeight="1">
      <c r="B724" s="3066">
        <v>732</v>
      </c>
      <c r="C724" s="3066" t="s">
        <v>3214</v>
      </c>
      <c r="D724" s="3066" t="s">
        <v>4019</v>
      </c>
      <c r="E724" s="3066" t="s">
        <v>5851</v>
      </c>
      <c r="F724" s="3066" t="s">
        <v>3917</v>
      </c>
      <c r="G724" s="3066" t="s">
        <v>1373</v>
      </c>
      <c r="H724" s="3066" t="s">
        <v>3560</v>
      </c>
      <c r="I724" s="3066" t="s">
        <v>5852</v>
      </c>
      <c r="J724" s="3066" t="s">
        <v>5852</v>
      </c>
      <c r="K724" s="3066" t="s">
        <v>3560</v>
      </c>
      <c r="L724" s="3066" t="s">
        <v>5853</v>
      </c>
      <c r="M724" s="3066" t="s">
        <v>5854</v>
      </c>
      <c r="N724" s="3066">
        <v>35</v>
      </c>
      <c r="O724" s="3066" t="s">
        <v>3939</v>
      </c>
      <c r="P724" s="3066" t="s">
        <v>3940</v>
      </c>
      <c r="Q724" s="3066">
        <v>1</v>
      </c>
      <c r="R724" s="3066">
        <v>4075</v>
      </c>
      <c r="S724" s="3066" t="s">
        <v>3567</v>
      </c>
      <c r="T724" s="3066">
        <v>20</v>
      </c>
      <c r="U724" s="3066">
        <v>700</v>
      </c>
      <c r="V724" s="3066" t="s">
        <v>3560</v>
      </c>
      <c r="W724" s="3066" t="s">
        <v>3568</v>
      </c>
      <c r="X724" s="3066">
        <v>2.29</v>
      </c>
      <c r="Y724" s="3066">
        <v>960</v>
      </c>
      <c r="Z724" s="3066" t="s">
        <v>3568</v>
      </c>
      <c r="AA724" s="3066" t="s">
        <v>3560</v>
      </c>
      <c r="AB724" s="3066" t="s">
        <v>3941</v>
      </c>
      <c r="AC724" s="3066" t="s">
        <v>3941</v>
      </c>
      <c r="AD724" s="3066" t="s">
        <v>3941</v>
      </c>
      <c r="AE724" s="3066" t="s">
        <v>3560</v>
      </c>
      <c r="AF724" s="3067">
        <v>700</v>
      </c>
      <c r="AG724" s="3066">
        <v>700</v>
      </c>
      <c r="AH724" s="3066">
        <v>80</v>
      </c>
      <c r="AI724" s="3066">
        <v>80</v>
      </c>
      <c r="AJ724" s="3066">
        <v>91.27</v>
      </c>
      <c r="AK724" s="3066">
        <v>91.27</v>
      </c>
      <c r="AL724" s="3066">
        <v>871.27</v>
      </c>
      <c r="AM724" s="3066">
        <v>871.27</v>
      </c>
      <c r="AN724" s="3066" t="s">
        <v>3560</v>
      </c>
      <c r="AP724" s="3068">
        <f t="shared" si="11"/>
        <v>20</v>
      </c>
    </row>
    <row r="725" spans="2:42" ht="27" customHeight="1">
      <c r="B725" s="3066">
        <v>733</v>
      </c>
      <c r="C725" s="3066" t="s">
        <v>3214</v>
      </c>
      <c r="D725" s="3066" t="s">
        <v>4019</v>
      </c>
      <c r="E725" s="3066" t="s">
        <v>5851</v>
      </c>
      <c r="F725" s="3066" t="s">
        <v>3917</v>
      </c>
      <c r="G725" s="3066" t="s">
        <v>1373</v>
      </c>
      <c r="H725" s="3066" t="s">
        <v>3560</v>
      </c>
      <c r="I725" s="3066" t="s">
        <v>5852</v>
      </c>
      <c r="J725" s="3066" t="s">
        <v>5852</v>
      </c>
      <c r="K725" s="3066" t="s">
        <v>3560</v>
      </c>
      <c r="L725" s="3066" t="s">
        <v>5853</v>
      </c>
      <c r="M725" s="3066" t="s">
        <v>5854</v>
      </c>
      <c r="N725" s="3066">
        <v>35</v>
      </c>
      <c r="O725" s="3066" t="s">
        <v>5230</v>
      </c>
      <c r="P725" s="3066" t="s">
        <v>4096</v>
      </c>
      <c r="Q725" s="3066">
        <v>1</v>
      </c>
      <c r="R725" s="3066">
        <v>4075</v>
      </c>
      <c r="S725" s="3066" t="s">
        <v>3567</v>
      </c>
      <c r="T725" s="3066">
        <v>21</v>
      </c>
      <c r="U725" s="3066">
        <v>735</v>
      </c>
      <c r="V725" s="3066" t="s">
        <v>3560</v>
      </c>
      <c r="W725" s="3066" t="s">
        <v>3568</v>
      </c>
      <c r="X725" s="3066">
        <v>2.29</v>
      </c>
      <c r="Y725" s="3066">
        <v>960</v>
      </c>
      <c r="Z725" s="3066" t="s">
        <v>3568</v>
      </c>
      <c r="AA725" s="3066" t="s">
        <v>3560</v>
      </c>
      <c r="AB725" s="3066" t="s">
        <v>4868</v>
      </c>
      <c r="AC725" s="3066" t="s">
        <v>4868</v>
      </c>
      <c r="AD725" s="3066" t="s">
        <v>4868</v>
      </c>
      <c r="AE725" s="3066" t="s">
        <v>3560</v>
      </c>
      <c r="AF725" s="3067">
        <v>700</v>
      </c>
      <c r="AG725" s="3066">
        <v>700</v>
      </c>
      <c r="AH725" s="3066">
        <v>80</v>
      </c>
      <c r="AI725" s="3066">
        <v>80</v>
      </c>
      <c r="AJ725" s="3066">
        <v>91.27</v>
      </c>
      <c r="AK725" s="3066">
        <v>91.27</v>
      </c>
      <c r="AL725" s="3066">
        <v>871.27</v>
      </c>
      <c r="AM725" s="3066">
        <v>871.27</v>
      </c>
      <c r="AN725" s="3066" t="s">
        <v>3560</v>
      </c>
      <c r="AP725" s="3068">
        <f t="shared" si="11"/>
        <v>20</v>
      </c>
    </row>
    <row r="726" spans="2:42" ht="27" customHeight="1">
      <c r="B726" s="3066">
        <v>734</v>
      </c>
      <c r="C726" s="3066" t="s">
        <v>3214</v>
      </c>
      <c r="D726" s="3066" t="s">
        <v>4019</v>
      </c>
      <c r="E726" s="3066" t="s">
        <v>5855</v>
      </c>
      <c r="F726" s="3066" t="s">
        <v>3917</v>
      </c>
      <c r="G726" s="3066" t="s">
        <v>1373</v>
      </c>
      <c r="H726" s="3066" t="s">
        <v>3560</v>
      </c>
      <c r="I726" s="3066" t="s">
        <v>5856</v>
      </c>
      <c r="J726" s="3066" t="s">
        <v>3560</v>
      </c>
      <c r="K726" s="3066" t="s">
        <v>3560</v>
      </c>
      <c r="L726" s="3066" t="s">
        <v>5857</v>
      </c>
      <c r="M726" s="3066" t="s">
        <v>5858</v>
      </c>
      <c r="N726" s="3066">
        <v>35</v>
      </c>
      <c r="O726" s="3066" t="s">
        <v>3744</v>
      </c>
      <c r="P726" s="3066" t="s">
        <v>3566</v>
      </c>
      <c r="Q726" s="3066">
        <v>1</v>
      </c>
      <c r="R726" s="3066">
        <v>648</v>
      </c>
      <c r="S726" s="3066" t="s">
        <v>3567</v>
      </c>
      <c r="T726" s="3066">
        <v>20</v>
      </c>
      <c r="U726" s="3066">
        <v>700</v>
      </c>
      <c r="V726" s="3066" t="s">
        <v>3560</v>
      </c>
      <c r="W726" s="3066" t="s">
        <v>3568</v>
      </c>
      <c r="X726" s="3066">
        <v>2.29</v>
      </c>
      <c r="Y726" s="3066">
        <v>960</v>
      </c>
      <c r="Z726" s="3066" t="s">
        <v>3568</v>
      </c>
      <c r="AA726" s="3066" t="s">
        <v>3560</v>
      </c>
      <c r="AB726" s="3066" t="s">
        <v>3746</v>
      </c>
      <c r="AC726" s="3066" t="s">
        <v>3746</v>
      </c>
      <c r="AD726" s="3066" t="s">
        <v>3746</v>
      </c>
      <c r="AE726" s="3066" t="s">
        <v>3560</v>
      </c>
      <c r="AF726" s="3067">
        <v>700</v>
      </c>
      <c r="AG726" s="3066">
        <v>700</v>
      </c>
      <c r="AH726" s="3066">
        <v>80</v>
      </c>
      <c r="AI726" s="3066">
        <v>80</v>
      </c>
      <c r="AJ726" s="3066">
        <v>49.72</v>
      </c>
      <c r="AK726" s="3066">
        <v>49.72</v>
      </c>
      <c r="AL726" s="3066">
        <v>829.72</v>
      </c>
      <c r="AM726" s="3066">
        <v>829.72</v>
      </c>
      <c r="AN726" s="3066" t="s">
        <v>3560</v>
      </c>
      <c r="AP726" s="3068">
        <f t="shared" si="11"/>
        <v>20</v>
      </c>
    </row>
    <row r="727" spans="2:42" ht="27" customHeight="1">
      <c r="B727" s="3066">
        <v>735</v>
      </c>
      <c r="C727" s="3066" t="s">
        <v>3214</v>
      </c>
      <c r="D727" s="3066" t="s">
        <v>4019</v>
      </c>
      <c r="E727" s="3066" t="s">
        <v>5859</v>
      </c>
      <c r="F727" s="3066" t="s">
        <v>3917</v>
      </c>
      <c r="G727" s="3066" t="s">
        <v>1373</v>
      </c>
      <c r="H727" s="3066" t="s">
        <v>3560</v>
      </c>
      <c r="I727" s="3066" t="s">
        <v>5860</v>
      </c>
      <c r="J727" s="3066" t="s">
        <v>3560</v>
      </c>
      <c r="K727" s="3066" t="s">
        <v>3560</v>
      </c>
      <c r="L727" s="3066" t="s">
        <v>5861</v>
      </c>
      <c r="M727" s="3066" t="s">
        <v>5862</v>
      </c>
      <c r="N727" s="3066">
        <v>35</v>
      </c>
      <c r="O727" s="3066" t="s">
        <v>3939</v>
      </c>
      <c r="P727" s="3066" t="s">
        <v>3940</v>
      </c>
      <c r="Q727" s="3066">
        <v>1</v>
      </c>
      <c r="R727" s="3066">
        <v>3850</v>
      </c>
      <c r="S727" s="3066" t="s">
        <v>3567</v>
      </c>
      <c r="T727" s="3066">
        <v>20</v>
      </c>
      <c r="U727" s="3066">
        <v>700</v>
      </c>
      <c r="V727" s="3066" t="s">
        <v>3560</v>
      </c>
      <c r="W727" s="3066" t="s">
        <v>3568</v>
      </c>
      <c r="X727" s="3066">
        <v>2.29</v>
      </c>
      <c r="Y727" s="3066">
        <v>960</v>
      </c>
      <c r="Z727" s="3066" t="s">
        <v>3568</v>
      </c>
      <c r="AA727" s="3066" t="s">
        <v>3560</v>
      </c>
      <c r="AB727" s="3066" t="s">
        <v>3941</v>
      </c>
      <c r="AC727" s="3066" t="s">
        <v>3941</v>
      </c>
      <c r="AD727" s="3066" t="s">
        <v>3941</v>
      </c>
      <c r="AE727" s="3066" t="s">
        <v>3560</v>
      </c>
      <c r="AF727" s="3067">
        <v>700</v>
      </c>
      <c r="AG727" s="3066">
        <v>700</v>
      </c>
      <c r="AH727" s="3066">
        <v>80</v>
      </c>
      <c r="AI727" s="3066">
        <v>80</v>
      </c>
      <c r="AJ727" s="3066">
        <v>9.52</v>
      </c>
      <c r="AK727" s="3066">
        <v>9.52</v>
      </c>
      <c r="AL727" s="3066">
        <v>789.52</v>
      </c>
      <c r="AM727" s="3066">
        <v>789.52</v>
      </c>
      <c r="AN727" s="3066" t="s">
        <v>3560</v>
      </c>
      <c r="AP727" s="3068">
        <f t="shared" si="11"/>
        <v>20</v>
      </c>
    </row>
    <row r="728" spans="2:42" ht="27" customHeight="1">
      <c r="B728" s="3066">
        <v>736</v>
      </c>
      <c r="C728" s="3066" t="s">
        <v>3214</v>
      </c>
      <c r="D728" s="3066" t="s">
        <v>4019</v>
      </c>
      <c r="E728" s="3066" t="s">
        <v>5859</v>
      </c>
      <c r="F728" s="3066" t="s">
        <v>3917</v>
      </c>
      <c r="G728" s="3066" t="s">
        <v>1373</v>
      </c>
      <c r="H728" s="3066" t="s">
        <v>3560</v>
      </c>
      <c r="I728" s="3066" t="s">
        <v>5860</v>
      </c>
      <c r="J728" s="3066" t="s">
        <v>3560</v>
      </c>
      <c r="K728" s="3066" t="s">
        <v>3560</v>
      </c>
      <c r="L728" s="3066" t="s">
        <v>5861</v>
      </c>
      <c r="M728" s="3066" t="s">
        <v>5862</v>
      </c>
      <c r="N728" s="3066">
        <v>35</v>
      </c>
      <c r="O728" s="3066" t="s">
        <v>5230</v>
      </c>
      <c r="P728" s="3066" t="s">
        <v>4096</v>
      </c>
      <c r="Q728" s="3066">
        <v>1</v>
      </c>
      <c r="R728" s="3066">
        <v>3850</v>
      </c>
      <c r="S728" s="3066" t="s">
        <v>3567</v>
      </c>
      <c r="T728" s="3066">
        <v>21</v>
      </c>
      <c r="U728" s="3066">
        <v>735</v>
      </c>
      <c r="V728" s="3066" t="s">
        <v>3560</v>
      </c>
      <c r="W728" s="3066" t="s">
        <v>3568</v>
      </c>
      <c r="X728" s="3066">
        <v>2.29</v>
      </c>
      <c r="Y728" s="3066">
        <v>960</v>
      </c>
      <c r="Z728" s="3066" t="s">
        <v>3568</v>
      </c>
      <c r="AA728" s="3066" t="s">
        <v>3560</v>
      </c>
      <c r="AB728" s="3066" t="s">
        <v>4868</v>
      </c>
      <c r="AC728" s="3066" t="s">
        <v>4868</v>
      </c>
      <c r="AD728" s="3066" t="s">
        <v>4868</v>
      </c>
      <c r="AE728" s="3066" t="s">
        <v>3560</v>
      </c>
      <c r="AF728" s="3067">
        <v>700</v>
      </c>
      <c r="AG728" s="3066">
        <v>700</v>
      </c>
      <c r="AH728" s="3066">
        <v>80</v>
      </c>
      <c r="AI728" s="3066">
        <v>80</v>
      </c>
      <c r="AJ728" s="3066">
        <v>9.52</v>
      </c>
      <c r="AK728" s="3066">
        <v>9.52</v>
      </c>
      <c r="AL728" s="3066">
        <v>789.52</v>
      </c>
      <c r="AM728" s="3066">
        <v>789.52</v>
      </c>
      <c r="AN728" s="3066" t="s">
        <v>3560</v>
      </c>
      <c r="AP728" s="3068">
        <f t="shared" si="11"/>
        <v>20</v>
      </c>
    </row>
    <row r="729" spans="2:42" ht="27" customHeight="1">
      <c r="B729" s="3066">
        <v>737</v>
      </c>
      <c r="C729" s="3066" t="s">
        <v>3214</v>
      </c>
      <c r="D729" s="3066" t="s">
        <v>4019</v>
      </c>
      <c r="E729" s="3066" t="s">
        <v>5863</v>
      </c>
      <c r="F729" s="3066" t="s">
        <v>3917</v>
      </c>
      <c r="G729" s="3066" t="s">
        <v>1373</v>
      </c>
      <c r="H729" s="3066" t="s">
        <v>3560</v>
      </c>
      <c r="I729" s="3066" t="s">
        <v>5860</v>
      </c>
      <c r="J729" s="3066" t="s">
        <v>3560</v>
      </c>
      <c r="K729" s="3066" t="s">
        <v>3560</v>
      </c>
      <c r="L729" s="3066" t="s">
        <v>5861</v>
      </c>
      <c r="M729" s="3066" t="s">
        <v>5864</v>
      </c>
      <c r="N729" s="3066">
        <v>35</v>
      </c>
      <c r="O729" s="3066" t="s">
        <v>3939</v>
      </c>
      <c r="P729" s="3066" t="s">
        <v>3940</v>
      </c>
      <c r="Q729" s="3066">
        <v>1</v>
      </c>
      <c r="R729" s="3066">
        <v>4300</v>
      </c>
      <c r="S729" s="3066" t="s">
        <v>3567</v>
      </c>
      <c r="T729" s="3066">
        <v>20</v>
      </c>
      <c r="U729" s="3066">
        <v>700</v>
      </c>
      <c r="V729" s="3066" t="s">
        <v>3560</v>
      </c>
      <c r="W729" s="3066" t="s">
        <v>3568</v>
      </c>
      <c r="X729" s="3066">
        <v>2.29</v>
      </c>
      <c r="Y729" s="3066">
        <v>960</v>
      </c>
      <c r="Z729" s="3066" t="s">
        <v>3568</v>
      </c>
      <c r="AA729" s="3066" t="s">
        <v>3560</v>
      </c>
      <c r="AB729" s="3066" t="s">
        <v>3941</v>
      </c>
      <c r="AC729" s="3066" t="s">
        <v>3941</v>
      </c>
      <c r="AD729" s="3066" t="s">
        <v>3941</v>
      </c>
      <c r="AE729" s="3066" t="s">
        <v>3560</v>
      </c>
      <c r="AF729" s="3067">
        <v>700</v>
      </c>
      <c r="AG729" s="3066">
        <v>700</v>
      </c>
      <c r="AH729" s="3066">
        <v>80</v>
      </c>
      <c r="AI729" s="3066">
        <v>80</v>
      </c>
      <c r="AJ729" s="3066">
        <v>10.71</v>
      </c>
      <c r="AK729" s="3066">
        <v>10.71</v>
      </c>
      <c r="AL729" s="3066">
        <v>790.71</v>
      </c>
      <c r="AM729" s="3066">
        <v>790.71</v>
      </c>
      <c r="AN729" s="3066" t="s">
        <v>3560</v>
      </c>
      <c r="AP729" s="3068">
        <f t="shared" si="11"/>
        <v>20</v>
      </c>
    </row>
    <row r="730" spans="2:42" ht="27" customHeight="1">
      <c r="B730" s="3066">
        <v>738</v>
      </c>
      <c r="C730" s="3066" t="s">
        <v>3214</v>
      </c>
      <c r="D730" s="3066" t="s">
        <v>4019</v>
      </c>
      <c r="E730" s="3066" t="s">
        <v>5863</v>
      </c>
      <c r="F730" s="3066" t="s">
        <v>3917</v>
      </c>
      <c r="G730" s="3066" t="s">
        <v>1373</v>
      </c>
      <c r="H730" s="3066" t="s">
        <v>3560</v>
      </c>
      <c r="I730" s="3066" t="s">
        <v>5860</v>
      </c>
      <c r="J730" s="3066" t="s">
        <v>3560</v>
      </c>
      <c r="K730" s="3066" t="s">
        <v>3560</v>
      </c>
      <c r="L730" s="3066" t="s">
        <v>5861</v>
      </c>
      <c r="M730" s="3066" t="s">
        <v>5864</v>
      </c>
      <c r="N730" s="3066">
        <v>35</v>
      </c>
      <c r="O730" s="3066" t="s">
        <v>5230</v>
      </c>
      <c r="P730" s="3066" t="s">
        <v>4096</v>
      </c>
      <c r="Q730" s="3066">
        <v>1</v>
      </c>
      <c r="R730" s="3066">
        <v>4300</v>
      </c>
      <c r="S730" s="3066" t="s">
        <v>3567</v>
      </c>
      <c r="T730" s="3066">
        <v>21</v>
      </c>
      <c r="U730" s="3066">
        <v>735</v>
      </c>
      <c r="V730" s="3066" t="s">
        <v>3560</v>
      </c>
      <c r="W730" s="3066" t="s">
        <v>3568</v>
      </c>
      <c r="X730" s="3066">
        <v>2.29</v>
      </c>
      <c r="Y730" s="3066">
        <v>960</v>
      </c>
      <c r="Z730" s="3066" t="s">
        <v>3568</v>
      </c>
      <c r="AA730" s="3066" t="s">
        <v>3560</v>
      </c>
      <c r="AB730" s="3066" t="s">
        <v>4868</v>
      </c>
      <c r="AC730" s="3066" t="s">
        <v>4868</v>
      </c>
      <c r="AD730" s="3066" t="s">
        <v>4868</v>
      </c>
      <c r="AE730" s="3066" t="s">
        <v>3560</v>
      </c>
      <c r="AF730" s="3067">
        <v>700</v>
      </c>
      <c r="AG730" s="3066">
        <v>700</v>
      </c>
      <c r="AH730" s="3066">
        <v>80</v>
      </c>
      <c r="AI730" s="3066">
        <v>80</v>
      </c>
      <c r="AJ730" s="3066">
        <v>10.71</v>
      </c>
      <c r="AK730" s="3066">
        <v>10.71</v>
      </c>
      <c r="AL730" s="3066">
        <v>790.71</v>
      </c>
      <c r="AM730" s="3066">
        <v>790.71</v>
      </c>
      <c r="AN730" s="3066" t="s">
        <v>3560</v>
      </c>
      <c r="AP730" s="3068">
        <f t="shared" si="11"/>
        <v>20</v>
      </c>
    </row>
    <row r="731" spans="2:42" ht="27" customHeight="1">
      <c r="B731" s="3066">
        <v>739</v>
      </c>
      <c r="C731" s="3066" t="s">
        <v>3214</v>
      </c>
      <c r="D731" s="3066" t="s">
        <v>4019</v>
      </c>
      <c r="E731" s="3066" t="s">
        <v>5865</v>
      </c>
      <c r="F731" s="3066" t="s">
        <v>3917</v>
      </c>
      <c r="G731" s="3066" t="s">
        <v>1373</v>
      </c>
      <c r="H731" s="3066" t="s">
        <v>3560</v>
      </c>
      <c r="I731" s="3066" t="s">
        <v>3923</v>
      </c>
      <c r="J731" s="3066" t="s">
        <v>3923</v>
      </c>
      <c r="K731" s="3066" t="s">
        <v>3560</v>
      </c>
      <c r="L731" s="3066" t="s">
        <v>3924</v>
      </c>
      <c r="M731" s="3066" t="s">
        <v>5866</v>
      </c>
      <c r="N731" s="3066">
        <v>35</v>
      </c>
      <c r="O731" s="3066" t="s">
        <v>5211</v>
      </c>
      <c r="P731" s="3066" t="s">
        <v>3566</v>
      </c>
      <c r="Q731" s="3066">
        <v>1</v>
      </c>
      <c r="R731" s="3066">
        <v>210</v>
      </c>
      <c r="S731" s="3066" t="s">
        <v>3567</v>
      </c>
      <c r="T731" s="3066">
        <v>21</v>
      </c>
      <c r="U731" s="3066">
        <v>735</v>
      </c>
      <c r="V731" s="3066" t="s">
        <v>3560</v>
      </c>
      <c r="W731" s="3066" t="s">
        <v>3568</v>
      </c>
      <c r="X731" s="3066">
        <v>2.29</v>
      </c>
      <c r="Y731" s="3066">
        <v>960</v>
      </c>
      <c r="Z731" s="3066" t="s">
        <v>3568</v>
      </c>
      <c r="AA731" s="3066" t="s">
        <v>3560</v>
      </c>
      <c r="AB731" s="3066" t="s">
        <v>3943</v>
      </c>
      <c r="AC731" s="3066" t="s">
        <v>3943</v>
      </c>
      <c r="AD731" s="3066" t="s">
        <v>3943</v>
      </c>
      <c r="AE731" s="3066" t="s">
        <v>3560</v>
      </c>
      <c r="AF731" s="3067">
        <v>700</v>
      </c>
      <c r="AG731" s="3066">
        <v>700</v>
      </c>
      <c r="AH731" s="3066">
        <v>80</v>
      </c>
      <c r="AI731" s="3066">
        <v>80</v>
      </c>
      <c r="AJ731" s="3066">
        <v>127.33</v>
      </c>
      <c r="AK731" s="3066">
        <v>127.33</v>
      </c>
      <c r="AL731" s="3066">
        <v>907.33</v>
      </c>
      <c r="AM731" s="3066">
        <v>907.33</v>
      </c>
      <c r="AN731" s="3066" t="s">
        <v>3560</v>
      </c>
      <c r="AP731" s="3068">
        <f t="shared" si="11"/>
        <v>20</v>
      </c>
    </row>
    <row r="732" spans="2:42" ht="27" customHeight="1">
      <c r="B732" s="3066">
        <v>740</v>
      </c>
      <c r="C732" s="3066" t="s">
        <v>3214</v>
      </c>
      <c r="D732" s="3066" t="s">
        <v>4019</v>
      </c>
      <c r="E732" s="3066" t="s">
        <v>5867</v>
      </c>
      <c r="F732" s="3066" t="s">
        <v>3917</v>
      </c>
      <c r="G732" s="3066" t="s">
        <v>1373</v>
      </c>
      <c r="H732" s="3066" t="s">
        <v>3560</v>
      </c>
      <c r="I732" s="3066" t="s">
        <v>3923</v>
      </c>
      <c r="J732" s="3066" t="s">
        <v>3923</v>
      </c>
      <c r="K732" s="3066" t="s">
        <v>3560</v>
      </c>
      <c r="L732" s="3066" t="s">
        <v>3924</v>
      </c>
      <c r="M732" s="3066" t="s">
        <v>5868</v>
      </c>
      <c r="N732" s="3066">
        <v>35</v>
      </c>
      <c r="O732" s="3066" t="s">
        <v>5211</v>
      </c>
      <c r="P732" s="3066" t="s">
        <v>3566</v>
      </c>
      <c r="Q732" s="3066">
        <v>1</v>
      </c>
      <c r="R732" s="3066">
        <v>0</v>
      </c>
      <c r="S732" s="3066" t="s">
        <v>3577</v>
      </c>
      <c r="T732" s="3066">
        <v>21</v>
      </c>
      <c r="U732" s="3066">
        <v>735</v>
      </c>
      <c r="V732" s="3066" t="s">
        <v>3560</v>
      </c>
      <c r="W732" s="3066" t="s">
        <v>3568</v>
      </c>
      <c r="X732" s="3066">
        <v>2.29</v>
      </c>
      <c r="Y732" s="3066">
        <v>960</v>
      </c>
      <c r="Z732" s="3066" t="s">
        <v>3568</v>
      </c>
      <c r="AA732" s="3066" t="s">
        <v>3560</v>
      </c>
      <c r="AB732" s="3066" t="s">
        <v>3943</v>
      </c>
      <c r="AC732" s="3066" t="s">
        <v>3943</v>
      </c>
      <c r="AD732" s="3066" t="s">
        <v>3943</v>
      </c>
      <c r="AE732" s="3066" t="s">
        <v>3560</v>
      </c>
      <c r="AF732" s="3067">
        <v>700</v>
      </c>
      <c r="AG732" s="3066">
        <v>700</v>
      </c>
      <c r="AH732" s="3066">
        <v>80</v>
      </c>
      <c r="AI732" s="3066">
        <v>80</v>
      </c>
      <c r="AJ732" s="3066">
        <v>8.25</v>
      </c>
      <c r="AK732" s="3066">
        <v>8.25</v>
      </c>
      <c r="AL732" s="3066">
        <v>788.25</v>
      </c>
      <c r="AM732" s="3066">
        <v>788.25</v>
      </c>
      <c r="AN732" s="3066" t="s">
        <v>3560</v>
      </c>
      <c r="AP732" s="3068">
        <f t="shared" si="11"/>
        <v>20</v>
      </c>
    </row>
    <row r="733" spans="2:42" ht="27" customHeight="1">
      <c r="B733" s="3066">
        <v>741</v>
      </c>
      <c r="C733" s="3066" t="s">
        <v>3214</v>
      </c>
      <c r="D733" s="3066" t="s">
        <v>4019</v>
      </c>
      <c r="E733" s="3066" t="s">
        <v>5869</v>
      </c>
      <c r="F733" s="3066" t="s">
        <v>3917</v>
      </c>
      <c r="G733" s="3066" t="s">
        <v>1373</v>
      </c>
      <c r="H733" s="3066" t="s">
        <v>3560</v>
      </c>
      <c r="I733" s="3066" t="s">
        <v>3922</v>
      </c>
      <c r="J733" s="3066" t="s">
        <v>3923</v>
      </c>
      <c r="K733" s="3066" t="s">
        <v>3560</v>
      </c>
      <c r="L733" s="3066" t="s">
        <v>3924</v>
      </c>
      <c r="M733" s="3066" t="s">
        <v>5870</v>
      </c>
      <c r="N733" s="3066">
        <v>35</v>
      </c>
      <c r="O733" s="3066" t="s">
        <v>3619</v>
      </c>
      <c r="P733" s="3066" t="s">
        <v>3566</v>
      </c>
      <c r="Q733" s="3066">
        <v>1</v>
      </c>
      <c r="R733" s="3066">
        <v>9177</v>
      </c>
      <c r="S733" s="3066" t="s">
        <v>3567</v>
      </c>
      <c r="T733" s="3066">
        <v>20</v>
      </c>
      <c r="U733" s="3066">
        <v>700</v>
      </c>
      <c r="V733" s="3066" t="s">
        <v>3560</v>
      </c>
      <c r="W733" s="3066" t="s">
        <v>3568</v>
      </c>
      <c r="X733" s="3066">
        <v>2</v>
      </c>
      <c r="Y733" s="3066">
        <v>840</v>
      </c>
      <c r="Z733" s="3066" t="s">
        <v>3568</v>
      </c>
      <c r="AA733" s="3066" t="s">
        <v>3560</v>
      </c>
      <c r="AB733" s="3066" t="s">
        <v>3584</v>
      </c>
      <c r="AC733" s="3066" t="s">
        <v>3584</v>
      </c>
      <c r="AD733" s="3066" t="s">
        <v>3584</v>
      </c>
      <c r="AE733" s="3066" t="s">
        <v>3560</v>
      </c>
      <c r="AF733" s="3067">
        <v>700</v>
      </c>
      <c r="AG733" s="3066">
        <v>0</v>
      </c>
      <c r="AH733" s="3066">
        <v>70</v>
      </c>
      <c r="AI733" s="3066">
        <v>0</v>
      </c>
      <c r="AJ733" s="3066">
        <v>30.77</v>
      </c>
      <c r="AK733" s="3066">
        <v>0</v>
      </c>
      <c r="AL733" s="3066">
        <v>800.77</v>
      </c>
      <c r="AM733" s="3066">
        <v>0</v>
      </c>
      <c r="AN733" s="3066" t="s">
        <v>3560</v>
      </c>
      <c r="AP733" s="3068">
        <f t="shared" si="11"/>
        <v>20</v>
      </c>
    </row>
    <row r="734" spans="2:42" ht="27" customHeight="1">
      <c r="B734" s="3066">
        <v>742</v>
      </c>
      <c r="C734" s="3066" t="s">
        <v>3214</v>
      </c>
      <c r="D734" s="3066" t="s">
        <v>4019</v>
      </c>
      <c r="E734" s="3066" t="s">
        <v>5871</v>
      </c>
      <c r="F734" s="3066" t="s">
        <v>3917</v>
      </c>
      <c r="G734" s="3066" t="s">
        <v>1373</v>
      </c>
      <c r="H734" s="3066" t="s">
        <v>3560</v>
      </c>
      <c r="I734" s="3066" t="s">
        <v>3922</v>
      </c>
      <c r="J734" s="3066" t="s">
        <v>3923</v>
      </c>
      <c r="K734" s="3066" t="s">
        <v>3560</v>
      </c>
      <c r="L734" s="3066" t="s">
        <v>3924</v>
      </c>
      <c r="M734" s="3066" t="s">
        <v>5872</v>
      </c>
      <c r="N734" s="3066">
        <v>35</v>
      </c>
      <c r="O734" s="3066" t="s">
        <v>3619</v>
      </c>
      <c r="P734" s="3066" t="s">
        <v>3566</v>
      </c>
      <c r="Q734" s="3066">
        <v>1</v>
      </c>
      <c r="R734" s="3066">
        <v>0</v>
      </c>
      <c r="S734" s="3066" t="s">
        <v>3577</v>
      </c>
      <c r="T734" s="3066">
        <v>20</v>
      </c>
      <c r="U734" s="3066">
        <v>700</v>
      </c>
      <c r="V734" s="3066" t="s">
        <v>3560</v>
      </c>
      <c r="W734" s="3066" t="s">
        <v>3568</v>
      </c>
      <c r="X734" s="3066">
        <v>2</v>
      </c>
      <c r="Y734" s="3066">
        <v>840</v>
      </c>
      <c r="Z734" s="3066" t="s">
        <v>3568</v>
      </c>
      <c r="AA734" s="3066" t="s">
        <v>3560</v>
      </c>
      <c r="AB734" s="3066" t="s">
        <v>3584</v>
      </c>
      <c r="AC734" s="3066" t="s">
        <v>3584</v>
      </c>
      <c r="AD734" s="3066" t="s">
        <v>3584</v>
      </c>
      <c r="AE734" s="3066" t="s">
        <v>3560</v>
      </c>
      <c r="AF734" s="3067">
        <v>700</v>
      </c>
      <c r="AG734" s="3066">
        <v>0</v>
      </c>
      <c r="AH734" s="3066">
        <v>70</v>
      </c>
      <c r="AI734" s="3066">
        <v>0</v>
      </c>
      <c r="AJ734" s="3066">
        <v>36.799999999999997</v>
      </c>
      <c r="AK734" s="3066">
        <v>0</v>
      </c>
      <c r="AL734" s="3066">
        <v>806.8</v>
      </c>
      <c r="AM734" s="3066">
        <v>0</v>
      </c>
      <c r="AN734" s="3066" t="s">
        <v>3560</v>
      </c>
      <c r="AP734" s="3068">
        <f t="shared" si="11"/>
        <v>20</v>
      </c>
    </row>
    <row r="735" spans="2:42" ht="27" customHeight="1">
      <c r="B735" s="3066">
        <v>743</v>
      </c>
      <c r="C735" s="3066" t="s">
        <v>3214</v>
      </c>
      <c r="D735" s="3066" t="s">
        <v>4019</v>
      </c>
      <c r="E735" s="3066" t="s">
        <v>5873</v>
      </c>
      <c r="F735" s="3066" t="s">
        <v>3917</v>
      </c>
      <c r="G735" s="3066" t="s">
        <v>1373</v>
      </c>
      <c r="H735" s="3066" t="s">
        <v>3560</v>
      </c>
      <c r="I735" s="3066" t="s">
        <v>3787</v>
      </c>
      <c r="J735" s="3066" t="s">
        <v>3788</v>
      </c>
      <c r="K735" s="3066" t="s">
        <v>3560</v>
      </c>
      <c r="L735" s="3066" t="s">
        <v>3789</v>
      </c>
      <c r="M735" s="3066" t="s">
        <v>5874</v>
      </c>
      <c r="N735" s="3066">
        <v>39</v>
      </c>
      <c r="O735" s="3066" t="s">
        <v>3744</v>
      </c>
      <c r="P735" s="3066" t="s">
        <v>3566</v>
      </c>
      <c r="Q735" s="3066">
        <v>1</v>
      </c>
      <c r="R735" s="3066">
        <v>0</v>
      </c>
      <c r="S735" s="3066" t="s">
        <v>3577</v>
      </c>
      <c r="T735" s="3066">
        <v>20</v>
      </c>
      <c r="U735" s="3066">
        <v>780</v>
      </c>
      <c r="V735" s="3066" t="s">
        <v>3560</v>
      </c>
      <c r="W735" s="3066" t="s">
        <v>3568</v>
      </c>
      <c r="X735" s="3066">
        <v>2</v>
      </c>
      <c r="Y735" s="3066">
        <v>936</v>
      </c>
      <c r="Z735" s="3066" t="s">
        <v>3568</v>
      </c>
      <c r="AA735" s="3066" t="s">
        <v>3560</v>
      </c>
      <c r="AB735" s="3066" t="s">
        <v>3746</v>
      </c>
      <c r="AC735" s="3066" t="s">
        <v>3746</v>
      </c>
      <c r="AD735" s="3066" t="s">
        <v>3746</v>
      </c>
      <c r="AE735" s="3066" t="s">
        <v>3560</v>
      </c>
      <c r="AF735" s="3067">
        <v>780</v>
      </c>
      <c r="AG735" s="3066">
        <v>0</v>
      </c>
      <c r="AH735" s="3066">
        <v>78</v>
      </c>
      <c r="AI735" s="3066">
        <v>0</v>
      </c>
      <c r="AJ735" s="3066">
        <v>77.94</v>
      </c>
      <c r="AK735" s="3066">
        <v>0</v>
      </c>
      <c r="AL735" s="3066">
        <v>935.94</v>
      </c>
      <c r="AM735" s="3066">
        <v>0</v>
      </c>
      <c r="AN735" s="3066" t="s">
        <v>3560</v>
      </c>
      <c r="AP735" s="3068">
        <f t="shared" si="11"/>
        <v>20</v>
      </c>
    </row>
    <row r="736" spans="2:42" ht="27" customHeight="1">
      <c r="B736" s="3066">
        <v>744</v>
      </c>
      <c r="C736" s="3066" t="s">
        <v>3214</v>
      </c>
      <c r="D736" s="3066" t="s">
        <v>4053</v>
      </c>
      <c r="E736" s="3066" t="s">
        <v>5875</v>
      </c>
      <c r="F736" s="3066" t="s">
        <v>3917</v>
      </c>
      <c r="G736" s="3066" t="s">
        <v>1373</v>
      </c>
      <c r="H736" s="3066" t="s">
        <v>3560</v>
      </c>
      <c r="I736" s="3066" t="s">
        <v>5249</v>
      </c>
      <c r="J736" s="3066" t="s">
        <v>3560</v>
      </c>
      <c r="K736" s="3066" t="s">
        <v>3560</v>
      </c>
      <c r="L736" s="3066" t="s">
        <v>5250</v>
      </c>
      <c r="M736" s="3066" t="s">
        <v>5876</v>
      </c>
      <c r="N736" s="3066">
        <v>35</v>
      </c>
      <c r="O736" s="3066" t="s">
        <v>3619</v>
      </c>
      <c r="P736" s="3066" t="s">
        <v>3566</v>
      </c>
      <c r="Q736" s="3066">
        <v>1</v>
      </c>
      <c r="R736" s="3066">
        <v>3297</v>
      </c>
      <c r="S736" s="3066" t="s">
        <v>3567</v>
      </c>
      <c r="T736" s="3066">
        <v>21</v>
      </c>
      <c r="U736" s="3066">
        <v>735</v>
      </c>
      <c r="V736" s="3066" t="s">
        <v>3560</v>
      </c>
      <c r="W736" s="3066" t="s">
        <v>3568</v>
      </c>
      <c r="X736" s="3066">
        <v>2.29</v>
      </c>
      <c r="Y736" s="3066">
        <v>960</v>
      </c>
      <c r="Z736" s="3066" t="s">
        <v>3568</v>
      </c>
      <c r="AA736" s="3066" t="s">
        <v>3560</v>
      </c>
      <c r="AB736" s="3066" t="s">
        <v>3584</v>
      </c>
      <c r="AC736" s="3066" t="s">
        <v>3584</v>
      </c>
      <c r="AD736" s="3066" t="s">
        <v>3584</v>
      </c>
      <c r="AE736" s="3066" t="s">
        <v>3560</v>
      </c>
      <c r="AF736" s="3067">
        <v>735</v>
      </c>
      <c r="AG736" s="3066">
        <v>735</v>
      </c>
      <c r="AH736" s="3066">
        <v>80</v>
      </c>
      <c r="AI736" s="3066">
        <v>80</v>
      </c>
      <c r="AJ736" s="3066">
        <v>89.56</v>
      </c>
      <c r="AK736" s="3066">
        <v>89.56</v>
      </c>
      <c r="AL736" s="3066">
        <v>904.56</v>
      </c>
      <c r="AM736" s="3066">
        <v>904.56</v>
      </c>
      <c r="AN736" s="3066" t="s">
        <v>3560</v>
      </c>
      <c r="AP736" s="3068">
        <f t="shared" si="11"/>
        <v>21</v>
      </c>
    </row>
    <row r="737" spans="2:42" ht="27" customHeight="1">
      <c r="B737" s="3066">
        <v>745</v>
      </c>
      <c r="C737" s="3066" t="s">
        <v>3214</v>
      </c>
      <c r="D737" s="3066" t="s">
        <v>4053</v>
      </c>
      <c r="E737" s="3066" t="s">
        <v>5877</v>
      </c>
      <c r="F737" s="3066" t="s">
        <v>3917</v>
      </c>
      <c r="G737" s="3066" t="s">
        <v>1373</v>
      </c>
      <c r="H737" s="3066" t="s">
        <v>3560</v>
      </c>
      <c r="I737" s="3066" t="s">
        <v>5249</v>
      </c>
      <c r="J737" s="3066" t="s">
        <v>3560</v>
      </c>
      <c r="K737" s="3066" t="s">
        <v>3560</v>
      </c>
      <c r="L737" s="3066" t="s">
        <v>5250</v>
      </c>
      <c r="M737" s="3066" t="s">
        <v>5878</v>
      </c>
      <c r="N737" s="3066">
        <v>35</v>
      </c>
      <c r="O737" s="3066" t="s">
        <v>3619</v>
      </c>
      <c r="P737" s="3066" t="s">
        <v>3566</v>
      </c>
      <c r="Q737" s="3066">
        <v>1</v>
      </c>
      <c r="R737" s="3066">
        <v>0</v>
      </c>
      <c r="S737" s="3066" t="s">
        <v>3577</v>
      </c>
      <c r="T737" s="3066">
        <v>21</v>
      </c>
      <c r="U737" s="3066">
        <v>735</v>
      </c>
      <c r="V737" s="3066" t="s">
        <v>3560</v>
      </c>
      <c r="W737" s="3066" t="s">
        <v>3568</v>
      </c>
      <c r="X737" s="3066">
        <v>2.29</v>
      </c>
      <c r="Y737" s="3066">
        <v>960</v>
      </c>
      <c r="Z737" s="3066" t="s">
        <v>3568</v>
      </c>
      <c r="AA737" s="3066" t="s">
        <v>3560</v>
      </c>
      <c r="AB737" s="3066" t="s">
        <v>3584</v>
      </c>
      <c r="AC737" s="3066" t="s">
        <v>3584</v>
      </c>
      <c r="AD737" s="3066" t="s">
        <v>3584</v>
      </c>
      <c r="AE737" s="3066" t="s">
        <v>3560</v>
      </c>
      <c r="AF737" s="3067">
        <v>735</v>
      </c>
      <c r="AG737" s="3066">
        <v>735</v>
      </c>
      <c r="AH737" s="3066">
        <v>80</v>
      </c>
      <c r="AI737" s="3066">
        <v>80</v>
      </c>
      <c r="AJ737" s="3066">
        <v>100.18</v>
      </c>
      <c r="AK737" s="3066">
        <v>100.18</v>
      </c>
      <c r="AL737" s="3066">
        <v>915.18</v>
      </c>
      <c r="AM737" s="3066">
        <v>915.18</v>
      </c>
      <c r="AN737" s="3066" t="s">
        <v>3560</v>
      </c>
      <c r="AP737" s="3068">
        <f t="shared" si="11"/>
        <v>21</v>
      </c>
    </row>
    <row r="738" spans="2:42" ht="27" customHeight="1">
      <c r="B738" s="3066">
        <v>746</v>
      </c>
      <c r="C738" s="3066" t="s">
        <v>3214</v>
      </c>
      <c r="D738" s="3066" t="s">
        <v>4053</v>
      </c>
      <c r="E738" s="3066" t="s">
        <v>5879</v>
      </c>
      <c r="F738" s="3066" t="s">
        <v>3917</v>
      </c>
      <c r="G738" s="3066" t="s">
        <v>1373</v>
      </c>
      <c r="H738" s="3066" t="s">
        <v>3560</v>
      </c>
      <c r="I738" s="3066" t="s">
        <v>5249</v>
      </c>
      <c r="J738" s="3066" t="s">
        <v>3560</v>
      </c>
      <c r="K738" s="3066" t="s">
        <v>3560</v>
      </c>
      <c r="L738" s="3066" t="s">
        <v>5250</v>
      </c>
      <c r="M738" s="3066" t="s">
        <v>5880</v>
      </c>
      <c r="N738" s="3066">
        <v>35</v>
      </c>
      <c r="O738" s="3066" t="s">
        <v>3619</v>
      </c>
      <c r="P738" s="3066" t="s">
        <v>3566</v>
      </c>
      <c r="Q738" s="3066">
        <v>1</v>
      </c>
      <c r="R738" s="3066">
        <v>0</v>
      </c>
      <c r="S738" s="3066" t="s">
        <v>3577</v>
      </c>
      <c r="T738" s="3066">
        <v>21</v>
      </c>
      <c r="U738" s="3066">
        <v>735</v>
      </c>
      <c r="V738" s="3066" t="s">
        <v>3560</v>
      </c>
      <c r="W738" s="3066" t="s">
        <v>3568</v>
      </c>
      <c r="X738" s="3066">
        <v>2.29</v>
      </c>
      <c r="Y738" s="3066">
        <v>960</v>
      </c>
      <c r="Z738" s="3066" t="s">
        <v>3568</v>
      </c>
      <c r="AA738" s="3066" t="s">
        <v>3560</v>
      </c>
      <c r="AB738" s="3066" t="s">
        <v>3584</v>
      </c>
      <c r="AC738" s="3066" t="s">
        <v>3584</v>
      </c>
      <c r="AD738" s="3066" t="s">
        <v>3584</v>
      </c>
      <c r="AE738" s="3066" t="s">
        <v>3560</v>
      </c>
      <c r="AF738" s="3067">
        <v>735</v>
      </c>
      <c r="AG738" s="3066">
        <v>735</v>
      </c>
      <c r="AH738" s="3066">
        <v>80</v>
      </c>
      <c r="AI738" s="3066">
        <v>80</v>
      </c>
      <c r="AJ738" s="3066">
        <v>39.25</v>
      </c>
      <c r="AK738" s="3066">
        <v>39.25</v>
      </c>
      <c r="AL738" s="3066">
        <v>854.25</v>
      </c>
      <c r="AM738" s="3066">
        <v>854.25</v>
      </c>
      <c r="AN738" s="3066" t="s">
        <v>3560</v>
      </c>
      <c r="AP738" s="3068">
        <f t="shared" si="11"/>
        <v>21</v>
      </c>
    </row>
    <row r="739" spans="2:42" ht="27" customHeight="1">
      <c r="B739" s="3066">
        <v>747</v>
      </c>
      <c r="C739" s="3066" t="s">
        <v>3214</v>
      </c>
      <c r="D739" s="3066" t="s">
        <v>4053</v>
      </c>
      <c r="E739" s="3066" t="s">
        <v>5881</v>
      </c>
      <c r="F739" s="3066" t="s">
        <v>3917</v>
      </c>
      <c r="G739" s="3066" t="s">
        <v>1373</v>
      </c>
      <c r="H739" s="3066" t="s">
        <v>3560</v>
      </c>
      <c r="I739" s="3066" t="s">
        <v>5249</v>
      </c>
      <c r="J739" s="3066" t="s">
        <v>3560</v>
      </c>
      <c r="K739" s="3066" t="s">
        <v>3560</v>
      </c>
      <c r="L739" s="3066" t="s">
        <v>5250</v>
      </c>
      <c r="M739" s="3066" t="s">
        <v>5882</v>
      </c>
      <c r="N739" s="3066">
        <v>35</v>
      </c>
      <c r="O739" s="3066" t="s">
        <v>3619</v>
      </c>
      <c r="P739" s="3066" t="s">
        <v>3566</v>
      </c>
      <c r="Q739" s="3066">
        <v>1</v>
      </c>
      <c r="R739" s="3066">
        <v>0</v>
      </c>
      <c r="S739" s="3066" t="s">
        <v>3577</v>
      </c>
      <c r="T739" s="3066">
        <v>21</v>
      </c>
      <c r="U739" s="3066">
        <v>735</v>
      </c>
      <c r="V739" s="3066" t="s">
        <v>3560</v>
      </c>
      <c r="W739" s="3066" t="s">
        <v>3568</v>
      </c>
      <c r="X739" s="3066">
        <v>2.29</v>
      </c>
      <c r="Y739" s="3066">
        <v>960</v>
      </c>
      <c r="Z739" s="3066" t="s">
        <v>3568</v>
      </c>
      <c r="AA739" s="3066" t="s">
        <v>3560</v>
      </c>
      <c r="AB739" s="3066" t="s">
        <v>3584</v>
      </c>
      <c r="AC739" s="3066" t="s">
        <v>3584</v>
      </c>
      <c r="AD739" s="3066" t="s">
        <v>3584</v>
      </c>
      <c r="AE739" s="3066" t="s">
        <v>3560</v>
      </c>
      <c r="AF739" s="3067">
        <v>735</v>
      </c>
      <c r="AG739" s="3066">
        <v>735</v>
      </c>
      <c r="AH739" s="3066">
        <v>80</v>
      </c>
      <c r="AI739" s="3066">
        <v>80</v>
      </c>
      <c r="AJ739" s="3066">
        <v>66.61</v>
      </c>
      <c r="AK739" s="3066">
        <v>66.61</v>
      </c>
      <c r="AL739" s="3066">
        <v>881.61</v>
      </c>
      <c r="AM739" s="3066">
        <v>881.61</v>
      </c>
      <c r="AN739" s="3066" t="s">
        <v>3560</v>
      </c>
      <c r="AP739" s="3068">
        <f t="shared" si="11"/>
        <v>21</v>
      </c>
    </row>
    <row r="740" spans="2:42" ht="27" customHeight="1">
      <c r="B740" s="3066">
        <v>748</v>
      </c>
      <c r="C740" s="3066" t="s">
        <v>3214</v>
      </c>
      <c r="D740" s="3066" t="s">
        <v>4053</v>
      </c>
      <c r="E740" s="3066" t="s">
        <v>5883</v>
      </c>
      <c r="F740" s="3066" t="s">
        <v>3917</v>
      </c>
      <c r="G740" s="3066" t="s">
        <v>1373</v>
      </c>
      <c r="H740" s="3066" t="s">
        <v>3560</v>
      </c>
      <c r="I740" s="3066" t="s">
        <v>5249</v>
      </c>
      <c r="J740" s="3066" t="s">
        <v>3560</v>
      </c>
      <c r="K740" s="3066" t="s">
        <v>3560</v>
      </c>
      <c r="L740" s="3066" t="s">
        <v>5250</v>
      </c>
      <c r="M740" s="3066" t="s">
        <v>5884</v>
      </c>
      <c r="N740" s="3066">
        <v>35</v>
      </c>
      <c r="O740" s="3066" t="s">
        <v>3619</v>
      </c>
      <c r="P740" s="3066" t="s">
        <v>3566</v>
      </c>
      <c r="Q740" s="3066">
        <v>1</v>
      </c>
      <c r="R740" s="3066">
        <v>0</v>
      </c>
      <c r="S740" s="3066" t="s">
        <v>3577</v>
      </c>
      <c r="T740" s="3066">
        <v>21</v>
      </c>
      <c r="U740" s="3066">
        <v>735</v>
      </c>
      <c r="V740" s="3066" t="s">
        <v>3560</v>
      </c>
      <c r="W740" s="3066" t="s">
        <v>3568</v>
      </c>
      <c r="X740" s="3066">
        <v>2.29</v>
      </c>
      <c r="Y740" s="3066">
        <v>960</v>
      </c>
      <c r="Z740" s="3066" t="s">
        <v>3568</v>
      </c>
      <c r="AA740" s="3066" t="s">
        <v>3560</v>
      </c>
      <c r="AB740" s="3066" t="s">
        <v>3584</v>
      </c>
      <c r="AC740" s="3066" t="s">
        <v>3584</v>
      </c>
      <c r="AD740" s="3066" t="s">
        <v>3584</v>
      </c>
      <c r="AE740" s="3066" t="s">
        <v>3560</v>
      </c>
      <c r="AF740" s="3067">
        <v>735</v>
      </c>
      <c r="AG740" s="3066">
        <v>735</v>
      </c>
      <c r="AH740" s="3066">
        <v>80</v>
      </c>
      <c r="AI740" s="3066">
        <v>80</v>
      </c>
      <c r="AJ740" s="3066">
        <v>92.21</v>
      </c>
      <c r="AK740" s="3066">
        <v>92.21</v>
      </c>
      <c r="AL740" s="3066">
        <v>907.21</v>
      </c>
      <c r="AM740" s="3066">
        <v>907.21</v>
      </c>
      <c r="AN740" s="3066" t="s">
        <v>3560</v>
      </c>
      <c r="AP740" s="3068">
        <f t="shared" si="11"/>
        <v>21</v>
      </c>
    </row>
    <row r="741" spans="2:42" ht="27" customHeight="1">
      <c r="B741" s="3066">
        <v>749</v>
      </c>
      <c r="C741" s="3066" t="s">
        <v>3214</v>
      </c>
      <c r="D741" s="3066" t="s">
        <v>4053</v>
      </c>
      <c r="E741" s="3066" t="s">
        <v>5885</v>
      </c>
      <c r="F741" s="3066" t="s">
        <v>3917</v>
      </c>
      <c r="G741" s="3066" t="s">
        <v>1373</v>
      </c>
      <c r="H741" s="3066" t="s">
        <v>3560</v>
      </c>
      <c r="I741" s="3066" t="s">
        <v>5249</v>
      </c>
      <c r="J741" s="3066" t="s">
        <v>3560</v>
      </c>
      <c r="K741" s="3066" t="s">
        <v>3560</v>
      </c>
      <c r="L741" s="3066" t="s">
        <v>5250</v>
      </c>
      <c r="M741" s="3066" t="s">
        <v>5886</v>
      </c>
      <c r="N741" s="3066">
        <v>35</v>
      </c>
      <c r="O741" s="3066" t="s">
        <v>3619</v>
      </c>
      <c r="P741" s="3066" t="s">
        <v>3566</v>
      </c>
      <c r="Q741" s="3066">
        <v>1</v>
      </c>
      <c r="R741" s="3066">
        <v>0</v>
      </c>
      <c r="S741" s="3066" t="s">
        <v>3577</v>
      </c>
      <c r="T741" s="3066">
        <v>21</v>
      </c>
      <c r="U741" s="3066">
        <v>735</v>
      </c>
      <c r="V741" s="3066" t="s">
        <v>3560</v>
      </c>
      <c r="W741" s="3066" t="s">
        <v>3568</v>
      </c>
      <c r="X741" s="3066">
        <v>2.29</v>
      </c>
      <c r="Y741" s="3066">
        <v>960</v>
      </c>
      <c r="Z741" s="3066" t="s">
        <v>3568</v>
      </c>
      <c r="AA741" s="3066" t="s">
        <v>3560</v>
      </c>
      <c r="AB741" s="3066" t="s">
        <v>3584</v>
      </c>
      <c r="AC741" s="3066" t="s">
        <v>3584</v>
      </c>
      <c r="AD741" s="3066" t="s">
        <v>3584</v>
      </c>
      <c r="AE741" s="3066" t="s">
        <v>3560</v>
      </c>
      <c r="AF741" s="3067">
        <v>735</v>
      </c>
      <c r="AG741" s="3066">
        <v>735</v>
      </c>
      <c r="AH741" s="3066">
        <v>80</v>
      </c>
      <c r="AI741" s="3066">
        <v>80</v>
      </c>
      <c r="AJ741" s="3066">
        <v>80.48</v>
      </c>
      <c r="AK741" s="3066">
        <v>80.48</v>
      </c>
      <c r="AL741" s="3066">
        <v>895.48</v>
      </c>
      <c r="AM741" s="3066">
        <v>895.48</v>
      </c>
      <c r="AN741" s="3066" t="s">
        <v>3560</v>
      </c>
      <c r="AP741" s="3068">
        <f t="shared" si="11"/>
        <v>21</v>
      </c>
    </row>
    <row r="742" spans="2:42" ht="27" customHeight="1">
      <c r="B742" s="3066">
        <v>750</v>
      </c>
      <c r="C742" s="3066" t="s">
        <v>3214</v>
      </c>
      <c r="D742" s="3066" t="s">
        <v>4053</v>
      </c>
      <c r="E742" s="3066" t="s">
        <v>5887</v>
      </c>
      <c r="F742" s="3066" t="s">
        <v>3917</v>
      </c>
      <c r="G742" s="3066" t="s">
        <v>1373</v>
      </c>
      <c r="H742" s="3066" t="s">
        <v>3560</v>
      </c>
      <c r="I742" s="3066" t="s">
        <v>5249</v>
      </c>
      <c r="J742" s="3066" t="s">
        <v>3560</v>
      </c>
      <c r="K742" s="3066" t="s">
        <v>3560</v>
      </c>
      <c r="L742" s="3066" t="s">
        <v>5250</v>
      </c>
      <c r="M742" s="3066" t="s">
        <v>5888</v>
      </c>
      <c r="N742" s="3066">
        <v>35</v>
      </c>
      <c r="O742" s="3066" t="s">
        <v>3619</v>
      </c>
      <c r="P742" s="3066" t="s">
        <v>3566</v>
      </c>
      <c r="Q742" s="3066">
        <v>1</v>
      </c>
      <c r="R742" s="3066">
        <v>0</v>
      </c>
      <c r="S742" s="3066" t="s">
        <v>3577</v>
      </c>
      <c r="T742" s="3066">
        <v>21</v>
      </c>
      <c r="U742" s="3066">
        <v>735</v>
      </c>
      <c r="V742" s="3066" t="s">
        <v>3560</v>
      </c>
      <c r="W742" s="3066" t="s">
        <v>3568</v>
      </c>
      <c r="X742" s="3066">
        <v>2.29</v>
      </c>
      <c r="Y742" s="3066">
        <v>960</v>
      </c>
      <c r="Z742" s="3066" t="s">
        <v>3568</v>
      </c>
      <c r="AA742" s="3066" t="s">
        <v>3560</v>
      </c>
      <c r="AB742" s="3066" t="s">
        <v>3584</v>
      </c>
      <c r="AC742" s="3066" t="s">
        <v>3584</v>
      </c>
      <c r="AD742" s="3066" t="s">
        <v>3584</v>
      </c>
      <c r="AE742" s="3066" t="s">
        <v>3560</v>
      </c>
      <c r="AF742" s="3067">
        <v>735</v>
      </c>
      <c r="AG742" s="3066">
        <v>735</v>
      </c>
      <c r="AH742" s="3066">
        <v>80</v>
      </c>
      <c r="AI742" s="3066">
        <v>80</v>
      </c>
      <c r="AJ742" s="3066">
        <v>46.76</v>
      </c>
      <c r="AK742" s="3066">
        <v>46.76</v>
      </c>
      <c r="AL742" s="3066">
        <v>861.76</v>
      </c>
      <c r="AM742" s="3066">
        <v>861.76</v>
      </c>
      <c r="AN742" s="3066" t="s">
        <v>3560</v>
      </c>
      <c r="AP742" s="3068">
        <f t="shared" si="11"/>
        <v>21</v>
      </c>
    </row>
    <row r="743" spans="2:42" ht="27" customHeight="1">
      <c r="B743" s="3066">
        <v>751</v>
      </c>
      <c r="C743" s="3066" t="s">
        <v>3214</v>
      </c>
      <c r="D743" s="3066" t="s">
        <v>4053</v>
      </c>
      <c r="E743" s="3066" t="s">
        <v>5889</v>
      </c>
      <c r="F743" s="3066" t="s">
        <v>3917</v>
      </c>
      <c r="G743" s="3066" t="s">
        <v>1373</v>
      </c>
      <c r="H743" s="3066" t="s">
        <v>3560</v>
      </c>
      <c r="I743" s="3066" t="s">
        <v>3722</v>
      </c>
      <c r="J743" s="3066" t="s">
        <v>3723</v>
      </c>
      <c r="K743" s="3066" t="s">
        <v>3560</v>
      </c>
      <c r="L743" s="3066" t="s">
        <v>3724</v>
      </c>
      <c r="M743" s="3066" t="s">
        <v>5890</v>
      </c>
      <c r="N743" s="3066">
        <v>35</v>
      </c>
      <c r="O743" s="3066" t="s">
        <v>3619</v>
      </c>
      <c r="P743" s="3066" t="s">
        <v>3566</v>
      </c>
      <c r="Q743" s="3066">
        <v>1</v>
      </c>
      <c r="R743" s="3066">
        <v>82142.399999999994</v>
      </c>
      <c r="S743" s="3066" t="s">
        <v>3567</v>
      </c>
      <c r="T743" s="3066">
        <v>20</v>
      </c>
      <c r="U743" s="3066">
        <v>700</v>
      </c>
      <c r="V743" s="3066" t="s">
        <v>3560</v>
      </c>
      <c r="W743" s="3066" t="s">
        <v>3568</v>
      </c>
      <c r="X743" s="3066">
        <v>2</v>
      </c>
      <c r="Y743" s="3066">
        <v>840</v>
      </c>
      <c r="Z743" s="3066" t="s">
        <v>3568</v>
      </c>
      <c r="AA743" s="3066" t="s">
        <v>3560</v>
      </c>
      <c r="AB743" s="3066" t="s">
        <v>3584</v>
      </c>
      <c r="AC743" s="3066" t="s">
        <v>3584</v>
      </c>
      <c r="AD743" s="3066" t="s">
        <v>3584</v>
      </c>
      <c r="AE743" s="3066" t="s">
        <v>3560</v>
      </c>
      <c r="AF743" s="3067">
        <v>700</v>
      </c>
      <c r="AG743" s="3066">
        <v>700</v>
      </c>
      <c r="AH743" s="3066">
        <v>70</v>
      </c>
      <c r="AI743" s="3066">
        <v>70</v>
      </c>
      <c r="AJ743" s="3066">
        <v>178.71</v>
      </c>
      <c r="AK743" s="3066">
        <v>178.71</v>
      </c>
      <c r="AL743" s="3066">
        <v>948.71</v>
      </c>
      <c r="AM743" s="3066">
        <v>948.71</v>
      </c>
      <c r="AN743" s="3066" t="s">
        <v>3560</v>
      </c>
      <c r="AP743" s="3068">
        <f t="shared" si="11"/>
        <v>20</v>
      </c>
    </row>
    <row r="744" spans="2:42" ht="27" customHeight="1">
      <c r="B744" s="3066">
        <v>752</v>
      </c>
      <c r="C744" s="3066" t="s">
        <v>3214</v>
      </c>
      <c r="D744" s="3066" t="s">
        <v>4053</v>
      </c>
      <c r="E744" s="3066" t="s">
        <v>5891</v>
      </c>
      <c r="F744" s="3066" t="s">
        <v>3917</v>
      </c>
      <c r="G744" s="3066" t="s">
        <v>1373</v>
      </c>
      <c r="H744" s="3066" t="s">
        <v>3560</v>
      </c>
      <c r="I744" s="3066" t="s">
        <v>3722</v>
      </c>
      <c r="J744" s="3066" t="s">
        <v>3723</v>
      </c>
      <c r="K744" s="3066" t="s">
        <v>3560</v>
      </c>
      <c r="L744" s="3066" t="s">
        <v>3724</v>
      </c>
      <c r="M744" s="3066" t="s">
        <v>5892</v>
      </c>
      <c r="N744" s="3066">
        <v>35</v>
      </c>
      <c r="O744" s="3066" t="s">
        <v>3619</v>
      </c>
      <c r="P744" s="3066" t="s">
        <v>3566</v>
      </c>
      <c r="Q744" s="3066">
        <v>1</v>
      </c>
      <c r="R744" s="3066">
        <v>0</v>
      </c>
      <c r="S744" s="3066" t="s">
        <v>3577</v>
      </c>
      <c r="T744" s="3066">
        <v>20</v>
      </c>
      <c r="U744" s="3066">
        <v>700</v>
      </c>
      <c r="V744" s="3066" t="s">
        <v>3560</v>
      </c>
      <c r="W744" s="3066" t="s">
        <v>3568</v>
      </c>
      <c r="X744" s="3066">
        <v>2</v>
      </c>
      <c r="Y744" s="3066">
        <v>840</v>
      </c>
      <c r="Z744" s="3066" t="s">
        <v>3568</v>
      </c>
      <c r="AA744" s="3066" t="s">
        <v>3560</v>
      </c>
      <c r="AB744" s="3066" t="s">
        <v>3584</v>
      </c>
      <c r="AC744" s="3066" t="s">
        <v>3584</v>
      </c>
      <c r="AD744" s="3066" t="s">
        <v>3584</v>
      </c>
      <c r="AE744" s="3066" t="s">
        <v>3560</v>
      </c>
      <c r="AF744" s="3067">
        <v>700</v>
      </c>
      <c r="AG744" s="3066">
        <v>700</v>
      </c>
      <c r="AH744" s="3066">
        <v>70</v>
      </c>
      <c r="AI744" s="3066">
        <v>70</v>
      </c>
      <c r="AJ744" s="3066">
        <v>68.89</v>
      </c>
      <c r="AK744" s="3066">
        <v>68.89</v>
      </c>
      <c r="AL744" s="3066">
        <v>838.89</v>
      </c>
      <c r="AM744" s="3066">
        <v>838.89</v>
      </c>
      <c r="AN744" s="3066" t="s">
        <v>3560</v>
      </c>
      <c r="AP744" s="3068">
        <f t="shared" si="11"/>
        <v>20</v>
      </c>
    </row>
    <row r="745" spans="2:42" ht="27" customHeight="1">
      <c r="B745" s="3066">
        <v>753</v>
      </c>
      <c r="C745" s="3066" t="s">
        <v>3214</v>
      </c>
      <c r="D745" s="3066" t="s">
        <v>4053</v>
      </c>
      <c r="E745" s="3066" t="s">
        <v>5893</v>
      </c>
      <c r="F745" s="3066" t="s">
        <v>3917</v>
      </c>
      <c r="G745" s="3066" t="s">
        <v>1373</v>
      </c>
      <c r="H745" s="3066" t="s">
        <v>3560</v>
      </c>
      <c r="I745" s="3066" t="s">
        <v>3722</v>
      </c>
      <c r="J745" s="3066" t="s">
        <v>3723</v>
      </c>
      <c r="K745" s="3066" t="s">
        <v>3560</v>
      </c>
      <c r="L745" s="3066" t="s">
        <v>3724</v>
      </c>
      <c r="M745" s="3066" t="s">
        <v>5894</v>
      </c>
      <c r="N745" s="3066">
        <v>35</v>
      </c>
      <c r="O745" s="3066" t="s">
        <v>3619</v>
      </c>
      <c r="P745" s="3066" t="s">
        <v>3566</v>
      </c>
      <c r="Q745" s="3066">
        <v>1</v>
      </c>
      <c r="R745" s="3066">
        <v>0</v>
      </c>
      <c r="S745" s="3066" t="s">
        <v>3577</v>
      </c>
      <c r="T745" s="3066">
        <v>20</v>
      </c>
      <c r="U745" s="3066">
        <v>700</v>
      </c>
      <c r="V745" s="3066" t="s">
        <v>3560</v>
      </c>
      <c r="W745" s="3066" t="s">
        <v>3568</v>
      </c>
      <c r="X745" s="3066">
        <v>2</v>
      </c>
      <c r="Y745" s="3066">
        <v>840</v>
      </c>
      <c r="Z745" s="3066" t="s">
        <v>3568</v>
      </c>
      <c r="AA745" s="3066" t="s">
        <v>3560</v>
      </c>
      <c r="AB745" s="3066" t="s">
        <v>3584</v>
      </c>
      <c r="AC745" s="3066" t="s">
        <v>3584</v>
      </c>
      <c r="AD745" s="3066" t="s">
        <v>3584</v>
      </c>
      <c r="AE745" s="3066" t="s">
        <v>3560</v>
      </c>
      <c r="AF745" s="3067">
        <v>700</v>
      </c>
      <c r="AG745" s="3066">
        <v>700</v>
      </c>
      <c r="AH745" s="3066">
        <v>70</v>
      </c>
      <c r="AI745" s="3066">
        <v>70</v>
      </c>
      <c r="AJ745" s="3066">
        <v>280.55</v>
      </c>
      <c r="AK745" s="3066">
        <v>280.55</v>
      </c>
      <c r="AL745" s="3066">
        <v>1050.55</v>
      </c>
      <c r="AM745" s="3066">
        <v>1050.55</v>
      </c>
      <c r="AN745" s="3066" t="s">
        <v>3560</v>
      </c>
      <c r="AP745" s="3068">
        <f t="shared" si="11"/>
        <v>20</v>
      </c>
    </row>
    <row r="746" spans="2:42" ht="27" customHeight="1">
      <c r="B746" s="3066">
        <v>754</v>
      </c>
      <c r="C746" s="3066" t="s">
        <v>3214</v>
      </c>
      <c r="D746" s="3066" t="s">
        <v>4053</v>
      </c>
      <c r="E746" s="3066" t="s">
        <v>5895</v>
      </c>
      <c r="F746" s="3066" t="s">
        <v>3917</v>
      </c>
      <c r="G746" s="3066" t="s">
        <v>3560</v>
      </c>
      <c r="H746" s="3066" t="s">
        <v>3560</v>
      </c>
      <c r="I746" s="3066" t="s">
        <v>5896</v>
      </c>
      <c r="J746" s="3066" t="s">
        <v>5896</v>
      </c>
      <c r="K746" s="3066" t="s">
        <v>3560</v>
      </c>
      <c r="L746" s="3066" t="s">
        <v>5897</v>
      </c>
      <c r="M746" s="3066" t="s">
        <v>5898</v>
      </c>
      <c r="N746" s="3066">
        <v>35</v>
      </c>
      <c r="O746" s="3066" t="s">
        <v>3931</v>
      </c>
      <c r="P746" s="3066" t="s">
        <v>3566</v>
      </c>
      <c r="Q746" s="3066">
        <v>1</v>
      </c>
      <c r="R746" s="3066">
        <v>2130</v>
      </c>
      <c r="S746" s="3066" t="s">
        <v>3567</v>
      </c>
      <c r="T746" s="3066">
        <v>20</v>
      </c>
      <c r="U746" s="3066">
        <v>700</v>
      </c>
      <c r="V746" s="3066" t="s">
        <v>3560</v>
      </c>
      <c r="W746" s="3066" t="s">
        <v>3568</v>
      </c>
      <c r="X746" s="3066">
        <v>2.29</v>
      </c>
      <c r="Y746" s="3066">
        <v>960</v>
      </c>
      <c r="Z746" s="3066" t="s">
        <v>3568</v>
      </c>
      <c r="AA746" s="3066" t="s">
        <v>3560</v>
      </c>
      <c r="AB746" s="3066" t="s">
        <v>3932</v>
      </c>
      <c r="AC746" s="3066" t="s">
        <v>3932</v>
      </c>
      <c r="AD746" s="3066" t="s">
        <v>3932</v>
      </c>
      <c r="AE746" s="3066" t="s">
        <v>3560</v>
      </c>
      <c r="AF746" s="3067">
        <v>700</v>
      </c>
      <c r="AG746" s="3066">
        <v>700</v>
      </c>
      <c r="AH746" s="3066">
        <v>80</v>
      </c>
      <c r="AI746" s="3066">
        <v>80</v>
      </c>
      <c r="AJ746" s="3066">
        <v>55.75</v>
      </c>
      <c r="AK746" s="3066">
        <v>55.75</v>
      </c>
      <c r="AL746" s="3066">
        <v>835.75</v>
      </c>
      <c r="AM746" s="3066">
        <v>835.75</v>
      </c>
      <c r="AN746" s="3066" t="s">
        <v>3560</v>
      </c>
      <c r="AP746" s="3068">
        <f t="shared" si="11"/>
        <v>20</v>
      </c>
    </row>
    <row r="747" spans="2:42" ht="27" customHeight="1">
      <c r="B747" s="3066">
        <v>755</v>
      </c>
      <c r="C747" s="3066" t="s">
        <v>3214</v>
      </c>
      <c r="D747" s="3066" t="s">
        <v>4053</v>
      </c>
      <c r="E747" s="3066" t="s">
        <v>5899</v>
      </c>
      <c r="F747" s="3066" t="s">
        <v>3917</v>
      </c>
      <c r="G747" s="3066" t="s">
        <v>1373</v>
      </c>
      <c r="H747" s="3066" t="s">
        <v>3560</v>
      </c>
      <c r="I747" s="3066" t="s">
        <v>5900</v>
      </c>
      <c r="J747" s="3066" t="s">
        <v>3560</v>
      </c>
      <c r="K747" s="3066" t="s">
        <v>3560</v>
      </c>
      <c r="L747" s="3066" t="s">
        <v>5901</v>
      </c>
      <c r="M747" s="3066" t="s">
        <v>5902</v>
      </c>
      <c r="N747" s="3066">
        <v>35</v>
      </c>
      <c r="O747" s="3066" t="s">
        <v>3619</v>
      </c>
      <c r="P747" s="3066" t="s">
        <v>3566</v>
      </c>
      <c r="Q747" s="3066">
        <v>1</v>
      </c>
      <c r="R747" s="3066">
        <v>22190</v>
      </c>
      <c r="S747" s="3066" t="s">
        <v>3567</v>
      </c>
      <c r="T747" s="3066">
        <v>21</v>
      </c>
      <c r="U747" s="3066">
        <v>735</v>
      </c>
      <c r="V747" s="3066" t="s">
        <v>3560</v>
      </c>
      <c r="W747" s="3066" t="s">
        <v>3568</v>
      </c>
      <c r="X747" s="3066">
        <v>2.29</v>
      </c>
      <c r="Y747" s="3066">
        <v>960</v>
      </c>
      <c r="Z747" s="3066" t="s">
        <v>3568</v>
      </c>
      <c r="AA747" s="3066" t="s">
        <v>3560</v>
      </c>
      <c r="AB747" s="3066" t="s">
        <v>3584</v>
      </c>
      <c r="AC747" s="3066" t="s">
        <v>3584</v>
      </c>
      <c r="AD747" s="3066" t="s">
        <v>3584</v>
      </c>
      <c r="AE747" s="3066" t="s">
        <v>3560</v>
      </c>
      <c r="AF747" s="3067">
        <v>735</v>
      </c>
      <c r="AG747" s="3066">
        <v>0</v>
      </c>
      <c r="AH747" s="3066">
        <v>80</v>
      </c>
      <c r="AI747" s="3066">
        <v>0</v>
      </c>
      <c r="AJ747" s="3066">
        <v>469.68</v>
      </c>
      <c r="AK747" s="3066">
        <v>0</v>
      </c>
      <c r="AL747" s="3066">
        <v>1284.68</v>
      </c>
      <c r="AM747" s="3066">
        <v>0</v>
      </c>
      <c r="AN747" s="3066" t="s">
        <v>3560</v>
      </c>
      <c r="AP747" s="3068">
        <f t="shared" si="11"/>
        <v>21</v>
      </c>
    </row>
    <row r="748" spans="2:42" ht="27" customHeight="1">
      <c r="B748" s="3066">
        <v>756</v>
      </c>
      <c r="C748" s="3066" t="s">
        <v>3214</v>
      </c>
      <c r="D748" s="3066" t="s">
        <v>4053</v>
      </c>
      <c r="E748" s="3066" t="s">
        <v>5903</v>
      </c>
      <c r="F748" s="3066" t="s">
        <v>3917</v>
      </c>
      <c r="G748" s="3066" t="s">
        <v>3560</v>
      </c>
      <c r="H748" s="3066" t="s">
        <v>3560</v>
      </c>
      <c r="I748" s="3066" t="s">
        <v>5904</v>
      </c>
      <c r="J748" s="3066" t="s">
        <v>5904</v>
      </c>
      <c r="K748" s="3066" t="s">
        <v>3560</v>
      </c>
      <c r="L748" s="3066" t="s">
        <v>5905</v>
      </c>
      <c r="M748" s="3066" t="s">
        <v>5906</v>
      </c>
      <c r="N748" s="3066">
        <v>35</v>
      </c>
      <c r="O748" s="3066" t="s">
        <v>5907</v>
      </c>
      <c r="P748" s="3066" t="s">
        <v>3566</v>
      </c>
      <c r="Q748" s="3066">
        <v>0</v>
      </c>
      <c r="R748" s="3066">
        <v>3900</v>
      </c>
      <c r="S748" s="3066" t="s">
        <v>3567</v>
      </c>
      <c r="T748" s="3066">
        <v>20</v>
      </c>
      <c r="U748" s="3066">
        <v>700</v>
      </c>
      <c r="V748" s="3066" t="s">
        <v>3560</v>
      </c>
      <c r="W748" s="3066" t="s">
        <v>3568</v>
      </c>
      <c r="X748" s="3066">
        <v>2.29</v>
      </c>
      <c r="Y748" s="3066">
        <v>960</v>
      </c>
      <c r="Z748" s="3066" t="s">
        <v>3568</v>
      </c>
      <c r="AA748" s="3066" t="s">
        <v>3560</v>
      </c>
      <c r="AB748" s="3066" t="s">
        <v>5908</v>
      </c>
      <c r="AC748" s="3066" t="s">
        <v>5908</v>
      </c>
      <c r="AD748" s="3066" t="s">
        <v>5908</v>
      </c>
      <c r="AE748" s="3066" t="s">
        <v>3560</v>
      </c>
      <c r="AF748" s="3067">
        <v>700</v>
      </c>
      <c r="AG748" s="3066">
        <v>700</v>
      </c>
      <c r="AH748" s="3066">
        <v>80</v>
      </c>
      <c r="AI748" s="3066">
        <v>80</v>
      </c>
      <c r="AJ748" s="3066">
        <v>65.099999999999994</v>
      </c>
      <c r="AK748" s="3066">
        <v>65.099999999999994</v>
      </c>
      <c r="AL748" s="3066">
        <v>845.1</v>
      </c>
      <c r="AM748" s="3066">
        <v>845.1</v>
      </c>
      <c r="AN748" s="3066" t="s">
        <v>3560</v>
      </c>
      <c r="AP748" s="3068">
        <f t="shared" si="11"/>
        <v>20</v>
      </c>
    </row>
    <row r="749" spans="2:42" ht="27" customHeight="1">
      <c r="B749" s="3066">
        <v>757</v>
      </c>
      <c r="C749" s="3066" t="s">
        <v>3214</v>
      </c>
      <c r="D749" s="3066" t="s">
        <v>4053</v>
      </c>
      <c r="E749" s="3066" t="s">
        <v>5909</v>
      </c>
      <c r="F749" s="3066" t="s">
        <v>3917</v>
      </c>
      <c r="G749" s="3066" t="s">
        <v>3560</v>
      </c>
      <c r="H749" s="3066" t="s">
        <v>3560</v>
      </c>
      <c r="I749" s="3066" t="s">
        <v>5910</v>
      </c>
      <c r="J749" s="3066" t="s">
        <v>5910</v>
      </c>
      <c r="K749" s="3066" t="s">
        <v>3560</v>
      </c>
      <c r="L749" s="3066" t="s">
        <v>5911</v>
      </c>
      <c r="M749" s="3066" t="s">
        <v>5912</v>
      </c>
      <c r="N749" s="3066">
        <v>35</v>
      </c>
      <c r="O749" s="3066" t="s">
        <v>3931</v>
      </c>
      <c r="P749" s="3066" t="s">
        <v>3566</v>
      </c>
      <c r="Q749" s="3066">
        <v>1</v>
      </c>
      <c r="R749" s="3066">
        <v>2340</v>
      </c>
      <c r="S749" s="3066" t="s">
        <v>3567</v>
      </c>
      <c r="T749" s="3066">
        <v>20</v>
      </c>
      <c r="U749" s="3066">
        <v>700</v>
      </c>
      <c r="V749" s="3066" t="s">
        <v>3560</v>
      </c>
      <c r="W749" s="3066" t="s">
        <v>3568</v>
      </c>
      <c r="X749" s="3066">
        <v>2.29</v>
      </c>
      <c r="Y749" s="3066">
        <v>960</v>
      </c>
      <c r="Z749" s="3066" t="s">
        <v>3568</v>
      </c>
      <c r="AA749" s="3066" t="s">
        <v>3560</v>
      </c>
      <c r="AB749" s="3066" t="s">
        <v>3932</v>
      </c>
      <c r="AC749" s="3066" t="s">
        <v>3932</v>
      </c>
      <c r="AD749" s="3066" t="s">
        <v>3932</v>
      </c>
      <c r="AE749" s="3066" t="s">
        <v>3560</v>
      </c>
      <c r="AF749" s="3067">
        <v>700</v>
      </c>
      <c r="AG749" s="3066">
        <v>700</v>
      </c>
      <c r="AH749" s="3066">
        <v>80</v>
      </c>
      <c r="AI749" s="3066">
        <v>80</v>
      </c>
      <c r="AJ749" s="3066">
        <v>28.55</v>
      </c>
      <c r="AK749" s="3066">
        <v>28.55</v>
      </c>
      <c r="AL749" s="3066">
        <v>808.55</v>
      </c>
      <c r="AM749" s="3066">
        <v>808.55</v>
      </c>
      <c r="AN749" s="3066" t="s">
        <v>3560</v>
      </c>
      <c r="AP749" s="3068">
        <f t="shared" si="11"/>
        <v>20</v>
      </c>
    </row>
    <row r="750" spans="2:42" ht="27" customHeight="1">
      <c r="B750" s="3066">
        <v>758</v>
      </c>
      <c r="C750" s="3066" t="s">
        <v>3214</v>
      </c>
      <c r="D750" s="3066" t="s">
        <v>4053</v>
      </c>
      <c r="E750" s="3066" t="s">
        <v>5913</v>
      </c>
      <c r="F750" s="3066" t="s">
        <v>3917</v>
      </c>
      <c r="G750" s="3066" t="s">
        <v>1373</v>
      </c>
      <c r="H750" s="3066" t="s">
        <v>3560</v>
      </c>
      <c r="I750" s="3066" t="s">
        <v>5914</v>
      </c>
      <c r="J750" s="3066" t="s">
        <v>3560</v>
      </c>
      <c r="K750" s="3066" t="s">
        <v>3560</v>
      </c>
      <c r="L750" s="3066" t="s">
        <v>5915</v>
      </c>
      <c r="M750" s="3066" t="s">
        <v>5916</v>
      </c>
      <c r="N750" s="3066">
        <v>35</v>
      </c>
      <c r="O750" s="3066" t="s">
        <v>3619</v>
      </c>
      <c r="P750" s="3066" t="s">
        <v>3566</v>
      </c>
      <c r="Q750" s="3066">
        <v>1</v>
      </c>
      <c r="R750" s="3066">
        <v>4260</v>
      </c>
      <c r="S750" s="3066" t="s">
        <v>3567</v>
      </c>
      <c r="T750" s="3066">
        <v>21</v>
      </c>
      <c r="U750" s="3066">
        <v>735</v>
      </c>
      <c r="V750" s="3066" t="s">
        <v>3560</v>
      </c>
      <c r="W750" s="3066" t="s">
        <v>3568</v>
      </c>
      <c r="X750" s="3066">
        <v>2.29</v>
      </c>
      <c r="Y750" s="3066">
        <v>960</v>
      </c>
      <c r="Z750" s="3066" t="s">
        <v>3568</v>
      </c>
      <c r="AA750" s="3066" t="s">
        <v>3560</v>
      </c>
      <c r="AB750" s="3066" t="s">
        <v>3584</v>
      </c>
      <c r="AC750" s="3066" t="s">
        <v>3584</v>
      </c>
      <c r="AD750" s="3066" t="s">
        <v>3584</v>
      </c>
      <c r="AE750" s="3066" t="s">
        <v>3560</v>
      </c>
      <c r="AF750" s="3067">
        <v>735</v>
      </c>
      <c r="AG750" s="3066">
        <v>735</v>
      </c>
      <c r="AH750" s="3066">
        <v>80</v>
      </c>
      <c r="AI750" s="3066">
        <v>80</v>
      </c>
      <c r="AJ750" s="3066">
        <v>33.31</v>
      </c>
      <c r="AK750" s="3066">
        <v>33.31</v>
      </c>
      <c r="AL750" s="3066">
        <v>848.31</v>
      </c>
      <c r="AM750" s="3066">
        <v>848.31</v>
      </c>
      <c r="AN750" s="3066" t="s">
        <v>3560</v>
      </c>
      <c r="AP750" s="3068">
        <f t="shared" si="11"/>
        <v>21</v>
      </c>
    </row>
    <row r="751" spans="2:42" ht="27" customHeight="1">
      <c r="B751" s="3066">
        <v>759</v>
      </c>
      <c r="C751" s="3066" t="s">
        <v>3214</v>
      </c>
      <c r="D751" s="3066" t="s">
        <v>4053</v>
      </c>
      <c r="E751" s="3066" t="s">
        <v>5917</v>
      </c>
      <c r="F751" s="3066" t="s">
        <v>3917</v>
      </c>
      <c r="G751" s="3066" t="s">
        <v>1373</v>
      </c>
      <c r="H751" s="3066" t="s">
        <v>3560</v>
      </c>
      <c r="I751" s="3066" t="s">
        <v>5914</v>
      </c>
      <c r="J751" s="3066" t="s">
        <v>3560</v>
      </c>
      <c r="K751" s="3066" t="s">
        <v>3560</v>
      </c>
      <c r="L751" s="3066" t="s">
        <v>5915</v>
      </c>
      <c r="M751" s="3066" t="s">
        <v>5918</v>
      </c>
      <c r="N751" s="3066">
        <v>35</v>
      </c>
      <c r="O751" s="3066" t="s">
        <v>3619</v>
      </c>
      <c r="P751" s="3066" t="s">
        <v>3566</v>
      </c>
      <c r="Q751" s="3066">
        <v>1</v>
      </c>
      <c r="R751" s="3066">
        <v>0</v>
      </c>
      <c r="S751" s="3066" t="s">
        <v>3577</v>
      </c>
      <c r="T751" s="3066">
        <v>21</v>
      </c>
      <c r="U751" s="3066">
        <v>735</v>
      </c>
      <c r="V751" s="3066" t="s">
        <v>3560</v>
      </c>
      <c r="W751" s="3066" t="s">
        <v>3568</v>
      </c>
      <c r="X751" s="3066">
        <v>2.29</v>
      </c>
      <c r="Y751" s="3066">
        <v>960</v>
      </c>
      <c r="Z751" s="3066" t="s">
        <v>3568</v>
      </c>
      <c r="AA751" s="3066" t="s">
        <v>3560</v>
      </c>
      <c r="AB751" s="3066" t="s">
        <v>3584</v>
      </c>
      <c r="AC751" s="3066" t="s">
        <v>3584</v>
      </c>
      <c r="AD751" s="3066" t="s">
        <v>3584</v>
      </c>
      <c r="AE751" s="3066" t="s">
        <v>3560</v>
      </c>
      <c r="AF751" s="3067">
        <v>735</v>
      </c>
      <c r="AG751" s="3066">
        <v>735</v>
      </c>
      <c r="AH751" s="3066">
        <v>80</v>
      </c>
      <c r="AI751" s="3066">
        <v>80</v>
      </c>
      <c r="AJ751" s="3066">
        <v>59.32</v>
      </c>
      <c r="AK751" s="3066">
        <v>59.32</v>
      </c>
      <c r="AL751" s="3066">
        <v>874.32</v>
      </c>
      <c r="AM751" s="3066">
        <v>874.32</v>
      </c>
      <c r="AN751" s="3066" t="s">
        <v>3560</v>
      </c>
      <c r="AP751" s="3068">
        <f t="shared" si="11"/>
        <v>21</v>
      </c>
    </row>
    <row r="752" spans="2:42" ht="27" customHeight="1">
      <c r="B752" s="3066">
        <v>760</v>
      </c>
      <c r="C752" s="3066" t="s">
        <v>3214</v>
      </c>
      <c r="D752" s="3066" t="s">
        <v>4053</v>
      </c>
      <c r="E752" s="3066" t="s">
        <v>5919</v>
      </c>
      <c r="F752" s="3066" t="s">
        <v>3917</v>
      </c>
      <c r="G752" s="3066" t="s">
        <v>1373</v>
      </c>
      <c r="H752" s="3066" t="s">
        <v>3560</v>
      </c>
      <c r="I752" s="3066" t="s">
        <v>3870</v>
      </c>
      <c r="J752" s="3066" t="s">
        <v>3871</v>
      </c>
      <c r="K752" s="3066" t="s">
        <v>3560</v>
      </c>
      <c r="L752" s="3066" t="s">
        <v>3872</v>
      </c>
      <c r="M752" s="3066" t="s">
        <v>5920</v>
      </c>
      <c r="N752" s="3066">
        <v>35</v>
      </c>
      <c r="O752" s="3066" t="s">
        <v>3583</v>
      </c>
      <c r="P752" s="3066" t="s">
        <v>3566</v>
      </c>
      <c r="Q752" s="3066">
        <v>0</v>
      </c>
      <c r="R752" s="3066">
        <v>1826.5</v>
      </c>
      <c r="S752" s="3066" t="s">
        <v>3567</v>
      </c>
      <c r="T752" s="3066">
        <v>20</v>
      </c>
      <c r="U752" s="3066">
        <v>700</v>
      </c>
      <c r="V752" s="3066" t="s">
        <v>3560</v>
      </c>
      <c r="W752" s="3066" t="s">
        <v>3568</v>
      </c>
      <c r="X752" s="3066">
        <v>2</v>
      </c>
      <c r="Y752" s="3066">
        <v>840</v>
      </c>
      <c r="Z752" s="3066" t="s">
        <v>3568</v>
      </c>
      <c r="AA752" s="3066" t="s">
        <v>3560</v>
      </c>
      <c r="AB752" s="3066" t="s">
        <v>3584</v>
      </c>
      <c r="AC752" s="3066" t="s">
        <v>3584</v>
      </c>
      <c r="AD752" s="3066" t="s">
        <v>3584</v>
      </c>
      <c r="AE752" s="3066" t="s">
        <v>3560</v>
      </c>
      <c r="AF752" s="3067">
        <v>700</v>
      </c>
      <c r="AG752" s="3066">
        <v>700</v>
      </c>
      <c r="AH752" s="3066">
        <v>70</v>
      </c>
      <c r="AI752" s="3066">
        <v>70</v>
      </c>
      <c r="AJ752" s="3066">
        <v>69.69</v>
      </c>
      <c r="AK752" s="3066">
        <v>69.69</v>
      </c>
      <c r="AL752" s="3066">
        <v>839.69</v>
      </c>
      <c r="AM752" s="3066">
        <v>839.69</v>
      </c>
      <c r="AN752" s="3066" t="s">
        <v>3560</v>
      </c>
      <c r="AP752" s="3068">
        <f t="shared" si="11"/>
        <v>20</v>
      </c>
    </row>
    <row r="753" spans="2:42" ht="27" customHeight="1">
      <c r="B753" s="3066">
        <v>761</v>
      </c>
      <c r="C753" s="3066" t="s">
        <v>3214</v>
      </c>
      <c r="D753" s="3066" t="s">
        <v>4053</v>
      </c>
      <c r="E753" s="3066" t="s">
        <v>5921</v>
      </c>
      <c r="F753" s="3066" t="s">
        <v>3917</v>
      </c>
      <c r="G753" s="3066" t="s">
        <v>3560</v>
      </c>
      <c r="H753" s="3066" t="s">
        <v>3560</v>
      </c>
      <c r="I753" s="3066" t="s">
        <v>5922</v>
      </c>
      <c r="J753" s="3066" t="s">
        <v>5922</v>
      </c>
      <c r="K753" s="3066" t="s">
        <v>3560</v>
      </c>
      <c r="L753" s="3066" t="s">
        <v>5923</v>
      </c>
      <c r="M753" s="3066" t="s">
        <v>5924</v>
      </c>
      <c r="N753" s="3066">
        <v>39</v>
      </c>
      <c r="O753" s="3066" t="s">
        <v>3950</v>
      </c>
      <c r="P753" s="3066" t="s">
        <v>3566</v>
      </c>
      <c r="Q753" s="3066">
        <v>1</v>
      </c>
      <c r="R753" s="3066">
        <v>4535</v>
      </c>
      <c r="S753" s="3066" t="s">
        <v>3567</v>
      </c>
      <c r="T753" s="3066">
        <v>21</v>
      </c>
      <c r="U753" s="3066">
        <v>819</v>
      </c>
      <c r="V753" s="3066" t="s">
        <v>3560</v>
      </c>
      <c r="W753" s="3066" t="s">
        <v>3568</v>
      </c>
      <c r="X753" s="3066">
        <v>2.2599999999999998</v>
      </c>
      <c r="Y753" s="3066">
        <v>1056</v>
      </c>
      <c r="Z753" s="3066" t="s">
        <v>3568</v>
      </c>
      <c r="AA753" s="3066" t="s">
        <v>3560</v>
      </c>
      <c r="AB753" s="3066" t="s">
        <v>3951</v>
      </c>
      <c r="AC753" s="3066" t="s">
        <v>3951</v>
      </c>
      <c r="AD753" s="3066" t="s">
        <v>3951</v>
      </c>
      <c r="AE753" s="3066" t="s">
        <v>3560</v>
      </c>
      <c r="AF753" s="3067">
        <v>819</v>
      </c>
      <c r="AG753" s="3066">
        <v>819</v>
      </c>
      <c r="AH753" s="3066">
        <v>88</v>
      </c>
      <c r="AI753" s="3066">
        <v>88</v>
      </c>
      <c r="AJ753" s="3066">
        <v>46.06</v>
      </c>
      <c r="AK753" s="3066">
        <v>46.06</v>
      </c>
      <c r="AL753" s="3066">
        <v>953.06</v>
      </c>
      <c r="AM753" s="3066">
        <v>953.06</v>
      </c>
      <c r="AN753" s="3066" t="s">
        <v>3560</v>
      </c>
      <c r="AP753" s="3068">
        <f t="shared" si="11"/>
        <v>21</v>
      </c>
    </row>
    <row r="754" spans="2:42" ht="27" customHeight="1">
      <c r="B754" s="3066">
        <v>762</v>
      </c>
      <c r="C754" s="3066" t="s">
        <v>3214</v>
      </c>
      <c r="D754" s="3066" t="s">
        <v>3915</v>
      </c>
      <c r="E754" s="3066" t="s">
        <v>5925</v>
      </c>
      <c r="F754" s="3066" t="s">
        <v>3917</v>
      </c>
      <c r="G754" s="3066" t="s">
        <v>1373</v>
      </c>
      <c r="H754" s="3066" t="s">
        <v>3560</v>
      </c>
      <c r="I754" s="3066" t="s">
        <v>3706</v>
      </c>
      <c r="J754" s="3066" t="s">
        <v>3707</v>
      </c>
      <c r="K754" s="3066" t="s">
        <v>3560</v>
      </c>
      <c r="L754" s="3066" t="s">
        <v>3708</v>
      </c>
      <c r="M754" s="3066" t="s">
        <v>5926</v>
      </c>
      <c r="N754" s="3066">
        <v>35</v>
      </c>
      <c r="O754" s="3066" t="s">
        <v>3608</v>
      </c>
      <c r="P754" s="3066" t="s">
        <v>3566</v>
      </c>
      <c r="Q754" s="3066">
        <v>1</v>
      </c>
      <c r="R754" s="3066">
        <v>6930</v>
      </c>
      <c r="S754" s="3066" t="s">
        <v>3567</v>
      </c>
      <c r="T754" s="3066">
        <v>20</v>
      </c>
      <c r="U754" s="3066">
        <v>700</v>
      </c>
      <c r="V754" s="3066" t="s">
        <v>3560</v>
      </c>
      <c r="W754" s="3066" t="s">
        <v>3568</v>
      </c>
      <c r="X754" s="3066">
        <v>2</v>
      </c>
      <c r="Y754" s="3066">
        <v>840</v>
      </c>
      <c r="Z754" s="3066" t="s">
        <v>3568</v>
      </c>
      <c r="AA754" s="3066" t="s">
        <v>3560</v>
      </c>
      <c r="AB754" s="3066" t="s">
        <v>3609</v>
      </c>
      <c r="AC754" s="3066" t="s">
        <v>3609</v>
      </c>
      <c r="AD754" s="3066" t="s">
        <v>3609</v>
      </c>
      <c r="AE754" s="3066" t="s">
        <v>3560</v>
      </c>
      <c r="AF754" s="3067">
        <v>700</v>
      </c>
      <c r="AG754" s="3066">
        <v>0</v>
      </c>
      <c r="AH754" s="3066">
        <v>70</v>
      </c>
      <c r="AI754" s="3066">
        <v>0</v>
      </c>
      <c r="AJ754" s="3066">
        <v>106.66</v>
      </c>
      <c r="AK754" s="3066">
        <v>0</v>
      </c>
      <c r="AL754" s="3066">
        <v>876.66</v>
      </c>
      <c r="AM754" s="3066">
        <v>0</v>
      </c>
      <c r="AN754" s="3066" t="s">
        <v>3560</v>
      </c>
      <c r="AP754" s="3068">
        <f t="shared" si="11"/>
        <v>20</v>
      </c>
    </row>
    <row r="755" spans="2:42" ht="27" customHeight="1">
      <c r="B755" s="3066">
        <v>763</v>
      </c>
      <c r="C755" s="3066" t="s">
        <v>3214</v>
      </c>
      <c r="D755" s="3066" t="s">
        <v>3915</v>
      </c>
      <c r="E755" s="3066" t="s">
        <v>5927</v>
      </c>
      <c r="F755" s="3066" t="s">
        <v>3917</v>
      </c>
      <c r="G755" s="3066" t="s">
        <v>1373</v>
      </c>
      <c r="H755" s="3066" t="s">
        <v>3560</v>
      </c>
      <c r="I755" s="3066" t="s">
        <v>3706</v>
      </c>
      <c r="J755" s="3066" t="s">
        <v>3707</v>
      </c>
      <c r="K755" s="3066" t="s">
        <v>3560</v>
      </c>
      <c r="L755" s="3066" t="s">
        <v>3708</v>
      </c>
      <c r="M755" s="3066" t="s">
        <v>5928</v>
      </c>
      <c r="N755" s="3066">
        <v>35</v>
      </c>
      <c r="O755" s="3066" t="s">
        <v>3608</v>
      </c>
      <c r="P755" s="3066" t="s">
        <v>3566</v>
      </c>
      <c r="Q755" s="3066">
        <v>1</v>
      </c>
      <c r="R755" s="3066">
        <v>0</v>
      </c>
      <c r="S755" s="3066" t="s">
        <v>3577</v>
      </c>
      <c r="T755" s="3066">
        <v>20</v>
      </c>
      <c r="U755" s="3066">
        <v>700</v>
      </c>
      <c r="V755" s="3066" t="s">
        <v>3560</v>
      </c>
      <c r="W755" s="3066" t="s">
        <v>3568</v>
      </c>
      <c r="X755" s="3066">
        <v>2</v>
      </c>
      <c r="Y755" s="3066">
        <v>840</v>
      </c>
      <c r="Z755" s="3066" t="s">
        <v>3568</v>
      </c>
      <c r="AA755" s="3066" t="s">
        <v>3560</v>
      </c>
      <c r="AB755" s="3066" t="s">
        <v>3609</v>
      </c>
      <c r="AC755" s="3066" t="s">
        <v>3609</v>
      </c>
      <c r="AD755" s="3066" t="s">
        <v>3609</v>
      </c>
      <c r="AE755" s="3066" t="s">
        <v>3560</v>
      </c>
      <c r="AF755" s="3067">
        <v>700</v>
      </c>
      <c r="AG755" s="3066">
        <v>0</v>
      </c>
      <c r="AH755" s="3066">
        <v>70</v>
      </c>
      <c r="AI755" s="3066">
        <v>0</v>
      </c>
      <c r="AJ755" s="3066">
        <v>36.799999999999997</v>
      </c>
      <c r="AK755" s="3066">
        <v>0</v>
      </c>
      <c r="AL755" s="3066">
        <v>806.8</v>
      </c>
      <c r="AM755" s="3066">
        <v>0</v>
      </c>
      <c r="AN755" s="3066" t="s">
        <v>3560</v>
      </c>
      <c r="AP755" s="3068">
        <f t="shared" si="11"/>
        <v>20</v>
      </c>
    </row>
    <row r="756" spans="2:42" ht="27" customHeight="1">
      <c r="B756" s="3066">
        <v>764</v>
      </c>
      <c r="C756" s="3066" t="s">
        <v>3214</v>
      </c>
      <c r="D756" s="3066" t="s">
        <v>3915</v>
      </c>
      <c r="E756" s="3066" t="s">
        <v>5929</v>
      </c>
      <c r="F756" s="3066" t="s">
        <v>3917</v>
      </c>
      <c r="G756" s="3066" t="s">
        <v>1373</v>
      </c>
      <c r="H756" s="3066" t="s">
        <v>3560</v>
      </c>
      <c r="I756" s="3066" t="s">
        <v>3706</v>
      </c>
      <c r="J756" s="3066" t="s">
        <v>3707</v>
      </c>
      <c r="K756" s="3066" t="s">
        <v>3560</v>
      </c>
      <c r="L756" s="3066" t="s">
        <v>3708</v>
      </c>
      <c r="M756" s="3066" t="s">
        <v>5930</v>
      </c>
      <c r="N756" s="3066">
        <v>35</v>
      </c>
      <c r="O756" s="3066" t="s">
        <v>3608</v>
      </c>
      <c r="P756" s="3066" t="s">
        <v>3566</v>
      </c>
      <c r="Q756" s="3066">
        <v>1</v>
      </c>
      <c r="R756" s="3066">
        <v>0</v>
      </c>
      <c r="S756" s="3066" t="s">
        <v>3577</v>
      </c>
      <c r="T756" s="3066">
        <v>20</v>
      </c>
      <c r="U756" s="3066">
        <v>700</v>
      </c>
      <c r="V756" s="3066" t="s">
        <v>3560</v>
      </c>
      <c r="W756" s="3066" t="s">
        <v>3568</v>
      </c>
      <c r="X756" s="3066">
        <v>2</v>
      </c>
      <c r="Y756" s="3066">
        <v>840</v>
      </c>
      <c r="Z756" s="3066" t="s">
        <v>3568</v>
      </c>
      <c r="AA756" s="3066" t="s">
        <v>3560</v>
      </c>
      <c r="AB756" s="3066" t="s">
        <v>3609</v>
      </c>
      <c r="AC756" s="3066" t="s">
        <v>3609</v>
      </c>
      <c r="AD756" s="3066" t="s">
        <v>3609</v>
      </c>
      <c r="AE756" s="3066" t="s">
        <v>3560</v>
      </c>
      <c r="AF756" s="3067">
        <v>700</v>
      </c>
      <c r="AG756" s="3066">
        <v>0</v>
      </c>
      <c r="AH756" s="3066">
        <v>70</v>
      </c>
      <c r="AI756" s="3066">
        <v>0</v>
      </c>
      <c r="AJ756" s="3066">
        <v>103.08</v>
      </c>
      <c r="AK756" s="3066">
        <v>0</v>
      </c>
      <c r="AL756" s="3066">
        <v>873.08</v>
      </c>
      <c r="AM756" s="3066">
        <v>0</v>
      </c>
      <c r="AN756" s="3066" t="s">
        <v>3560</v>
      </c>
      <c r="AP756" s="3068">
        <f t="shared" si="11"/>
        <v>20</v>
      </c>
    </row>
    <row r="757" spans="2:42" ht="27" customHeight="1">
      <c r="B757" s="3066">
        <v>765</v>
      </c>
      <c r="C757" s="3066" t="s">
        <v>3214</v>
      </c>
      <c r="D757" s="3066" t="s">
        <v>3915</v>
      </c>
      <c r="E757" s="3066" t="s">
        <v>5931</v>
      </c>
      <c r="F757" s="3066" t="s">
        <v>3917</v>
      </c>
      <c r="G757" s="3066" t="s">
        <v>1373</v>
      </c>
      <c r="H757" s="3066" t="s">
        <v>3560</v>
      </c>
      <c r="I757" s="3066" t="s">
        <v>5900</v>
      </c>
      <c r="J757" s="3066" t="s">
        <v>3560</v>
      </c>
      <c r="K757" s="3066" t="s">
        <v>3560</v>
      </c>
      <c r="L757" s="3066" t="s">
        <v>5901</v>
      </c>
      <c r="M757" s="3066" t="s">
        <v>5932</v>
      </c>
      <c r="N757" s="3066">
        <v>35</v>
      </c>
      <c r="O757" s="3066" t="s">
        <v>5211</v>
      </c>
      <c r="P757" s="3066" t="s">
        <v>3566</v>
      </c>
      <c r="Q757" s="3066">
        <v>1</v>
      </c>
      <c r="R757" s="3066">
        <v>4075</v>
      </c>
      <c r="S757" s="3066" t="s">
        <v>3567</v>
      </c>
      <c r="T757" s="3066">
        <v>21</v>
      </c>
      <c r="U757" s="3066">
        <v>735</v>
      </c>
      <c r="V757" s="3066" t="s">
        <v>3560</v>
      </c>
      <c r="W757" s="3066" t="s">
        <v>3568</v>
      </c>
      <c r="X757" s="3066">
        <v>2.29</v>
      </c>
      <c r="Y757" s="3066">
        <v>960</v>
      </c>
      <c r="Z757" s="3066" t="s">
        <v>3568</v>
      </c>
      <c r="AA757" s="3066" t="s">
        <v>3560</v>
      </c>
      <c r="AB757" s="3066" t="s">
        <v>3943</v>
      </c>
      <c r="AC757" s="3066" t="s">
        <v>3943</v>
      </c>
      <c r="AD757" s="3066" t="s">
        <v>3943</v>
      </c>
      <c r="AE757" s="3066" t="s">
        <v>3560</v>
      </c>
      <c r="AF757" s="3067">
        <v>700</v>
      </c>
      <c r="AG757" s="3066">
        <v>0</v>
      </c>
      <c r="AH757" s="3066">
        <v>80</v>
      </c>
      <c r="AI757" s="3066">
        <v>0</v>
      </c>
      <c r="AJ757" s="3066">
        <v>259.45999999999998</v>
      </c>
      <c r="AK757" s="3066">
        <v>0</v>
      </c>
      <c r="AL757" s="3066">
        <v>1039.46</v>
      </c>
      <c r="AM757" s="3066">
        <v>0</v>
      </c>
      <c r="AN757" s="3066" t="s">
        <v>3560</v>
      </c>
      <c r="AP757" s="3068">
        <f t="shared" si="11"/>
        <v>20</v>
      </c>
    </row>
    <row r="758" spans="2:42" ht="27" customHeight="1">
      <c r="B758" s="3066">
        <v>766</v>
      </c>
      <c r="C758" s="3066" t="s">
        <v>3214</v>
      </c>
      <c r="D758" s="3066" t="s">
        <v>3915</v>
      </c>
      <c r="E758" s="3066" t="s">
        <v>5933</v>
      </c>
      <c r="F758" s="3066" t="s">
        <v>3917</v>
      </c>
      <c r="G758" s="3066" t="s">
        <v>1373</v>
      </c>
      <c r="H758" s="3066" t="s">
        <v>3560</v>
      </c>
      <c r="I758" s="3066" t="s">
        <v>5934</v>
      </c>
      <c r="J758" s="3066" t="s">
        <v>3560</v>
      </c>
      <c r="K758" s="3066" t="s">
        <v>3560</v>
      </c>
      <c r="L758" s="3066" t="s">
        <v>5935</v>
      </c>
      <c r="M758" s="3066" t="s">
        <v>5936</v>
      </c>
      <c r="N758" s="3066">
        <v>35</v>
      </c>
      <c r="O758" s="3066" t="s">
        <v>3939</v>
      </c>
      <c r="P758" s="3066" t="s">
        <v>3940</v>
      </c>
      <c r="Q758" s="3066">
        <v>1</v>
      </c>
      <c r="R758" s="3066">
        <v>3900</v>
      </c>
      <c r="S758" s="3066" t="s">
        <v>3567</v>
      </c>
      <c r="T758" s="3066">
        <v>20</v>
      </c>
      <c r="U758" s="3066">
        <v>700</v>
      </c>
      <c r="V758" s="3066" t="s">
        <v>3560</v>
      </c>
      <c r="W758" s="3066" t="s">
        <v>3568</v>
      </c>
      <c r="X758" s="3066">
        <v>2.29</v>
      </c>
      <c r="Y758" s="3066">
        <v>960</v>
      </c>
      <c r="Z758" s="3066" t="s">
        <v>3568</v>
      </c>
      <c r="AA758" s="3066" t="s">
        <v>3560</v>
      </c>
      <c r="AB758" s="3066" t="s">
        <v>3941</v>
      </c>
      <c r="AC758" s="3066" t="s">
        <v>3941</v>
      </c>
      <c r="AD758" s="3066" t="s">
        <v>3941</v>
      </c>
      <c r="AE758" s="3066" t="s">
        <v>3560</v>
      </c>
      <c r="AF758" s="3067">
        <v>700</v>
      </c>
      <c r="AG758" s="3066">
        <v>700</v>
      </c>
      <c r="AH758" s="3066">
        <v>80</v>
      </c>
      <c r="AI758" s="3066">
        <v>80</v>
      </c>
      <c r="AJ758" s="3066">
        <v>61.53</v>
      </c>
      <c r="AK758" s="3066">
        <v>61.53</v>
      </c>
      <c r="AL758" s="3066">
        <v>841.53</v>
      </c>
      <c r="AM758" s="3066">
        <v>841.53</v>
      </c>
      <c r="AN758" s="3066" t="s">
        <v>3560</v>
      </c>
      <c r="AP758" s="3068">
        <f t="shared" si="11"/>
        <v>20</v>
      </c>
    </row>
    <row r="759" spans="2:42" ht="27" customHeight="1">
      <c r="B759" s="3066">
        <v>767</v>
      </c>
      <c r="C759" s="3066" t="s">
        <v>3214</v>
      </c>
      <c r="D759" s="3066" t="s">
        <v>3915</v>
      </c>
      <c r="E759" s="3066" t="s">
        <v>5933</v>
      </c>
      <c r="F759" s="3066" t="s">
        <v>3917</v>
      </c>
      <c r="G759" s="3066" t="s">
        <v>1373</v>
      </c>
      <c r="H759" s="3066" t="s">
        <v>3560</v>
      </c>
      <c r="I759" s="3066" t="s">
        <v>5934</v>
      </c>
      <c r="J759" s="3066" t="s">
        <v>3560</v>
      </c>
      <c r="K759" s="3066" t="s">
        <v>3560</v>
      </c>
      <c r="L759" s="3066" t="s">
        <v>5935</v>
      </c>
      <c r="M759" s="3066" t="s">
        <v>5936</v>
      </c>
      <c r="N759" s="3066">
        <v>35</v>
      </c>
      <c r="O759" s="3066" t="s">
        <v>5211</v>
      </c>
      <c r="P759" s="3066" t="s">
        <v>3566</v>
      </c>
      <c r="Q759" s="3066">
        <v>1</v>
      </c>
      <c r="R759" s="3066">
        <v>3900</v>
      </c>
      <c r="S759" s="3066" t="s">
        <v>3567</v>
      </c>
      <c r="T759" s="3066">
        <v>21</v>
      </c>
      <c r="U759" s="3066">
        <v>735</v>
      </c>
      <c r="V759" s="3066" t="s">
        <v>3560</v>
      </c>
      <c r="W759" s="3066" t="s">
        <v>3568</v>
      </c>
      <c r="X759" s="3066">
        <v>2.29</v>
      </c>
      <c r="Y759" s="3066">
        <v>960</v>
      </c>
      <c r="Z759" s="3066" t="s">
        <v>3568</v>
      </c>
      <c r="AA759" s="3066" t="s">
        <v>3560</v>
      </c>
      <c r="AB759" s="3066" t="s">
        <v>3943</v>
      </c>
      <c r="AC759" s="3066" t="s">
        <v>3943</v>
      </c>
      <c r="AD759" s="3066" t="s">
        <v>3943</v>
      </c>
      <c r="AE759" s="3066" t="s">
        <v>3560</v>
      </c>
      <c r="AF759" s="3067">
        <v>700</v>
      </c>
      <c r="AG759" s="3066">
        <v>700</v>
      </c>
      <c r="AH759" s="3066">
        <v>80</v>
      </c>
      <c r="AI759" s="3066">
        <v>80</v>
      </c>
      <c r="AJ759" s="3066">
        <v>61.53</v>
      </c>
      <c r="AK759" s="3066">
        <v>61.53</v>
      </c>
      <c r="AL759" s="3066">
        <v>841.53</v>
      </c>
      <c r="AM759" s="3066">
        <v>841.53</v>
      </c>
      <c r="AN759" s="3066" t="s">
        <v>3560</v>
      </c>
      <c r="AP759" s="3068">
        <f t="shared" si="11"/>
        <v>20</v>
      </c>
    </row>
    <row r="760" spans="2:42" ht="27" customHeight="1">
      <c r="B760" s="3066">
        <v>768</v>
      </c>
      <c r="C760" s="3066" t="s">
        <v>3214</v>
      </c>
      <c r="D760" s="3066" t="s">
        <v>3915</v>
      </c>
      <c r="E760" s="3066" t="s">
        <v>5937</v>
      </c>
      <c r="F760" s="3066" t="s">
        <v>3917</v>
      </c>
      <c r="G760" s="3066" t="s">
        <v>1373</v>
      </c>
      <c r="H760" s="3066" t="s">
        <v>3560</v>
      </c>
      <c r="I760" s="3066" t="s">
        <v>5938</v>
      </c>
      <c r="J760" s="3066" t="s">
        <v>3560</v>
      </c>
      <c r="K760" s="3066" t="s">
        <v>3560</v>
      </c>
      <c r="L760" s="3066" t="s">
        <v>5939</v>
      </c>
      <c r="M760" s="3066" t="s">
        <v>5940</v>
      </c>
      <c r="N760" s="3066">
        <v>35</v>
      </c>
      <c r="O760" s="3066" t="s">
        <v>3619</v>
      </c>
      <c r="P760" s="3066" t="s">
        <v>3566</v>
      </c>
      <c r="Q760" s="3066">
        <v>1</v>
      </c>
      <c r="R760" s="3066">
        <v>2340</v>
      </c>
      <c r="S760" s="3066" t="s">
        <v>3567</v>
      </c>
      <c r="T760" s="3066">
        <v>20</v>
      </c>
      <c r="U760" s="3066">
        <v>700</v>
      </c>
      <c r="V760" s="3066" t="s">
        <v>3560</v>
      </c>
      <c r="W760" s="3066" t="s">
        <v>3568</v>
      </c>
      <c r="X760" s="3066">
        <v>2.29</v>
      </c>
      <c r="Y760" s="3066">
        <v>960</v>
      </c>
      <c r="Z760" s="3066" t="s">
        <v>3568</v>
      </c>
      <c r="AA760" s="3066" t="s">
        <v>3560</v>
      </c>
      <c r="AB760" s="3066" t="s">
        <v>3584</v>
      </c>
      <c r="AC760" s="3066" t="s">
        <v>3584</v>
      </c>
      <c r="AD760" s="3066" t="s">
        <v>3584</v>
      </c>
      <c r="AE760" s="3066" t="s">
        <v>3560</v>
      </c>
      <c r="AF760" s="3067">
        <v>700</v>
      </c>
      <c r="AG760" s="3066">
        <v>700</v>
      </c>
      <c r="AH760" s="3066">
        <v>80</v>
      </c>
      <c r="AI760" s="3066">
        <v>80</v>
      </c>
      <c r="AJ760" s="3066">
        <v>74.78</v>
      </c>
      <c r="AK760" s="3066">
        <v>74.78</v>
      </c>
      <c r="AL760" s="3066">
        <v>854.78</v>
      </c>
      <c r="AM760" s="3066">
        <v>854.78</v>
      </c>
      <c r="AN760" s="3066" t="s">
        <v>3560</v>
      </c>
      <c r="AP760" s="3068">
        <f t="shared" si="11"/>
        <v>20</v>
      </c>
    </row>
    <row r="761" spans="2:42" ht="27" customHeight="1">
      <c r="B761" s="3066">
        <v>769</v>
      </c>
      <c r="C761" s="3066" t="s">
        <v>3214</v>
      </c>
      <c r="D761" s="3066" t="s">
        <v>3915</v>
      </c>
      <c r="E761" s="3066" t="s">
        <v>5941</v>
      </c>
      <c r="F761" s="3066" t="s">
        <v>3917</v>
      </c>
      <c r="G761" s="3066" t="s">
        <v>3560</v>
      </c>
      <c r="H761" s="3066" t="s">
        <v>3560</v>
      </c>
      <c r="I761" s="3066" t="s">
        <v>5731</v>
      </c>
      <c r="J761" s="3066" t="s">
        <v>5731</v>
      </c>
      <c r="K761" s="3066" t="s">
        <v>3560</v>
      </c>
      <c r="L761" s="3066" t="s">
        <v>5732</v>
      </c>
      <c r="M761" s="3066" t="s">
        <v>5942</v>
      </c>
      <c r="N761" s="3066">
        <v>35</v>
      </c>
      <c r="O761" s="3066" t="s">
        <v>3619</v>
      </c>
      <c r="P761" s="3066" t="s">
        <v>3566</v>
      </c>
      <c r="Q761" s="3066">
        <v>1</v>
      </c>
      <c r="R761" s="3066">
        <v>2340</v>
      </c>
      <c r="S761" s="3066" t="s">
        <v>3567</v>
      </c>
      <c r="T761" s="3066">
        <v>20</v>
      </c>
      <c r="U761" s="3066">
        <v>700</v>
      </c>
      <c r="V761" s="3066" t="s">
        <v>3560</v>
      </c>
      <c r="W761" s="3066" t="s">
        <v>3568</v>
      </c>
      <c r="X761" s="3066">
        <v>2.29</v>
      </c>
      <c r="Y761" s="3066">
        <v>960</v>
      </c>
      <c r="Z761" s="3066" t="s">
        <v>3568</v>
      </c>
      <c r="AA761" s="3066" t="s">
        <v>3560</v>
      </c>
      <c r="AB761" s="3066" t="s">
        <v>3584</v>
      </c>
      <c r="AC761" s="3066" t="s">
        <v>3584</v>
      </c>
      <c r="AD761" s="3066" t="s">
        <v>3584</v>
      </c>
      <c r="AE761" s="3066" t="s">
        <v>3560</v>
      </c>
      <c r="AF761" s="3067">
        <v>700</v>
      </c>
      <c r="AG761" s="3066">
        <v>0</v>
      </c>
      <c r="AH761" s="3066">
        <v>80</v>
      </c>
      <c r="AI761" s="3066">
        <v>0</v>
      </c>
      <c r="AJ761" s="3066">
        <v>91.11</v>
      </c>
      <c r="AK761" s="3066">
        <v>0</v>
      </c>
      <c r="AL761" s="3066">
        <v>871.11</v>
      </c>
      <c r="AM761" s="3066">
        <v>0</v>
      </c>
      <c r="AN761" s="3066" t="s">
        <v>3560</v>
      </c>
      <c r="AP761" s="3068">
        <f t="shared" si="11"/>
        <v>20</v>
      </c>
    </row>
    <row r="762" spans="2:42" ht="27" customHeight="1">
      <c r="B762" s="3066">
        <v>770</v>
      </c>
      <c r="C762" s="3066" t="s">
        <v>3214</v>
      </c>
      <c r="D762" s="3066" t="s">
        <v>3915</v>
      </c>
      <c r="E762" s="3066" t="s">
        <v>5943</v>
      </c>
      <c r="F762" s="3066" t="s">
        <v>3917</v>
      </c>
      <c r="G762" s="3066" t="s">
        <v>1373</v>
      </c>
      <c r="H762" s="3066" t="s">
        <v>3560</v>
      </c>
      <c r="I762" s="3066" t="s">
        <v>5944</v>
      </c>
      <c r="J762" s="3066" t="s">
        <v>5944</v>
      </c>
      <c r="K762" s="3066" t="s">
        <v>3560</v>
      </c>
      <c r="L762" s="3066" t="s">
        <v>5945</v>
      </c>
      <c r="M762" s="3066" t="s">
        <v>5946</v>
      </c>
      <c r="N762" s="3066">
        <v>39</v>
      </c>
      <c r="O762" s="3066" t="s">
        <v>3619</v>
      </c>
      <c r="P762" s="3066" t="s">
        <v>3566</v>
      </c>
      <c r="Q762" s="3066">
        <v>1</v>
      </c>
      <c r="R762" s="3066">
        <v>2604</v>
      </c>
      <c r="S762" s="3066" t="s">
        <v>3567</v>
      </c>
      <c r="T762" s="3066">
        <v>21</v>
      </c>
      <c r="U762" s="3066">
        <v>819</v>
      </c>
      <c r="V762" s="3066" t="s">
        <v>3560</v>
      </c>
      <c r="W762" s="3066" t="s">
        <v>3568</v>
      </c>
      <c r="X762" s="3066">
        <v>2.2599999999999998</v>
      </c>
      <c r="Y762" s="3066">
        <v>1056</v>
      </c>
      <c r="Z762" s="3066" t="s">
        <v>3568</v>
      </c>
      <c r="AA762" s="3066" t="s">
        <v>3560</v>
      </c>
      <c r="AB762" s="3066" t="s">
        <v>3584</v>
      </c>
      <c r="AC762" s="3066" t="s">
        <v>3584</v>
      </c>
      <c r="AD762" s="3066" t="s">
        <v>3584</v>
      </c>
      <c r="AE762" s="3066" t="s">
        <v>3560</v>
      </c>
      <c r="AF762" s="3067">
        <v>819</v>
      </c>
      <c r="AG762" s="3066">
        <v>819</v>
      </c>
      <c r="AH762" s="3066">
        <v>88</v>
      </c>
      <c r="AI762" s="3066">
        <v>88</v>
      </c>
      <c r="AJ762" s="3066">
        <v>73.59</v>
      </c>
      <c r="AK762" s="3066">
        <v>73.59</v>
      </c>
      <c r="AL762" s="3066">
        <v>980.59</v>
      </c>
      <c r="AM762" s="3066">
        <v>980.59</v>
      </c>
      <c r="AN762" s="3066" t="s">
        <v>3560</v>
      </c>
      <c r="AP762" s="3068">
        <f t="shared" si="11"/>
        <v>21</v>
      </c>
    </row>
    <row r="763" spans="2:42" ht="27" customHeight="1">
      <c r="B763" s="3066">
        <v>771</v>
      </c>
      <c r="C763" s="3066" t="s">
        <v>3214</v>
      </c>
      <c r="D763" s="3066" t="s">
        <v>3926</v>
      </c>
      <c r="E763" s="3066" t="s">
        <v>5947</v>
      </c>
      <c r="F763" s="3066" t="s">
        <v>3917</v>
      </c>
      <c r="G763" s="3066" t="s">
        <v>1373</v>
      </c>
      <c r="H763" s="3066" t="s">
        <v>3560</v>
      </c>
      <c r="I763" s="3066" t="s">
        <v>5900</v>
      </c>
      <c r="J763" s="3066" t="s">
        <v>3560</v>
      </c>
      <c r="K763" s="3066" t="s">
        <v>3560</v>
      </c>
      <c r="L763" s="3066" t="s">
        <v>5901</v>
      </c>
      <c r="M763" s="3066" t="s">
        <v>5948</v>
      </c>
      <c r="N763" s="3066">
        <v>35</v>
      </c>
      <c r="O763" s="3066" t="s">
        <v>3619</v>
      </c>
      <c r="P763" s="3066" t="s">
        <v>3566</v>
      </c>
      <c r="Q763" s="3066">
        <v>1</v>
      </c>
      <c r="R763" s="3066">
        <v>0</v>
      </c>
      <c r="S763" s="3066" t="s">
        <v>3577</v>
      </c>
      <c r="T763" s="3066">
        <v>21</v>
      </c>
      <c r="U763" s="3066">
        <v>735</v>
      </c>
      <c r="V763" s="3066" t="s">
        <v>3560</v>
      </c>
      <c r="W763" s="3066" t="s">
        <v>3568</v>
      </c>
      <c r="X763" s="3066">
        <v>2.29</v>
      </c>
      <c r="Y763" s="3066">
        <v>960</v>
      </c>
      <c r="Z763" s="3066" t="s">
        <v>3568</v>
      </c>
      <c r="AA763" s="3066" t="s">
        <v>3560</v>
      </c>
      <c r="AB763" s="3066" t="s">
        <v>3584</v>
      </c>
      <c r="AC763" s="3066" t="s">
        <v>3584</v>
      </c>
      <c r="AD763" s="3066" t="s">
        <v>3584</v>
      </c>
      <c r="AE763" s="3066" t="s">
        <v>3560</v>
      </c>
      <c r="AF763" s="3067">
        <v>735</v>
      </c>
      <c r="AG763" s="3066">
        <v>0</v>
      </c>
      <c r="AH763" s="3066">
        <v>80</v>
      </c>
      <c r="AI763" s="3066">
        <v>0</v>
      </c>
      <c r="AJ763" s="3066">
        <v>33.07</v>
      </c>
      <c r="AK763" s="3066">
        <v>0</v>
      </c>
      <c r="AL763" s="3066">
        <v>848.07</v>
      </c>
      <c r="AM763" s="3066">
        <v>0</v>
      </c>
      <c r="AN763" s="3066" t="s">
        <v>3560</v>
      </c>
      <c r="AP763" s="3068">
        <f t="shared" si="11"/>
        <v>21</v>
      </c>
    </row>
    <row r="764" spans="2:42" ht="27" customHeight="1">
      <c r="B764" s="3066">
        <v>772</v>
      </c>
      <c r="C764" s="3066" t="s">
        <v>3214</v>
      </c>
      <c r="D764" s="3066" t="s">
        <v>3926</v>
      </c>
      <c r="E764" s="3066" t="s">
        <v>5949</v>
      </c>
      <c r="F764" s="3066" t="s">
        <v>3917</v>
      </c>
      <c r="G764" s="3066" t="s">
        <v>1373</v>
      </c>
      <c r="H764" s="3066" t="s">
        <v>3560</v>
      </c>
      <c r="I764" s="3066" t="s">
        <v>5900</v>
      </c>
      <c r="J764" s="3066" t="s">
        <v>3560</v>
      </c>
      <c r="K764" s="3066" t="s">
        <v>3560</v>
      </c>
      <c r="L764" s="3066" t="s">
        <v>5901</v>
      </c>
      <c r="M764" s="3066" t="s">
        <v>5950</v>
      </c>
      <c r="N764" s="3066">
        <v>35</v>
      </c>
      <c r="O764" s="3066" t="s">
        <v>3619</v>
      </c>
      <c r="P764" s="3066" t="s">
        <v>3566</v>
      </c>
      <c r="Q764" s="3066">
        <v>1</v>
      </c>
      <c r="R764" s="3066">
        <v>0</v>
      </c>
      <c r="S764" s="3066" t="s">
        <v>3577</v>
      </c>
      <c r="T764" s="3066">
        <v>21</v>
      </c>
      <c r="U764" s="3066">
        <v>735</v>
      </c>
      <c r="V764" s="3066" t="s">
        <v>3560</v>
      </c>
      <c r="W764" s="3066" t="s">
        <v>3568</v>
      </c>
      <c r="X764" s="3066">
        <v>2.29</v>
      </c>
      <c r="Y764" s="3066">
        <v>960</v>
      </c>
      <c r="Z764" s="3066" t="s">
        <v>3568</v>
      </c>
      <c r="AA764" s="3066" t="s">
        <v>3560</v>
      </c>
      <c r="AB764" s="3066" t="s">
        <v>3584</v>
      </c>
      <c r="AC764" s="3066" t="s">
        <v>3584</v>
      </c>
      <c r="AD764" s="3066" t="s">
        <v>3584</v>
      </c>
      <c r="AE764" s="3066" t="s">
        <v>3560</v>
      </c>
      <c r="AF764" s="3067">
        <v>735</v>
      </c>
      <c r="AG764" s="3066">
        <v>0</v>
      </c>
      <c r="AH764" s="3066">
        <v>80</v>
      </c>
      <c r="AI764" s="3066">
        <v>0</v>
      </c>
      <c r="AJ764" s="3066">
        <v>191.07</v>
      </c>
      <c r="AK764" s="3066">
        <v>0</v>
      </c>
      <c r="AL764" s="3066">
        <v>1006.07</v>
      </c>
      <c r="AM764" s="3066">
        <v>0</v>
      </c>
      <c r="AN764" s="3066" t="s">
        <v>3560</v>
      </c>
      <c r="AP764" s="3068">
        <f t="shared" si="11"/>
        <v>21</v>
      </c>
    </row>
    <row r="765" spans="2:42" ht="27" customHeight="1">
      <c r="B765" s="3066">
        <v>773</v>
      </c>
      <c r="C765" s="3066" t="s">
        <v>3214</v>
      </c>
      <c r="D765" s="3066" t="s">
        <v>3926</v>
      </c>
      <c r="E765" s="3066" t="s">
        <v>5951</v>
      </c>
      <c r="F765" s="3066" t="s">
        <v>3917</v>
      </c>
      <c r="G765" s="3066" t="s">
        <v>3560</v>
      </c>
      <c r="H765" s="3066" t="s">
        <v>3560</v>
      </c>
      <c r="I765" s="3066" t="s">
        <v>4264</v>
      </c>
      <c r="J765" s="3066" t="s">
        <v>4264</v>
      </c>
      <c r="K765" s="3066" t="s">
        <v>3560</v>
      </c>
      <c r="L765" s="3066" t="s">
        <v>4265</v>
      </c>
      <c r="M765" s="3066" t="s">
        <v>5952</v>
      </c>
      <c r="N765" s="3066">
        <v>35</v>
      </c>
      <c r="O765" s="3066" t="s">
        <v>3919</v>
      </c>
      <c r="P765" s="3066" t="s">
        <v>3566</v>
      </c>
      <c r="Q765" s="3066">
        <v>1</v>
      </c>
      <c r="R765" s="3066">
        <v>2340</v>
      </c>
      <c r="S765" s="3066" t="s">
        <v>3567</v>
      </c>
      <c r="T765" s="3066">
        <v>20</v>
      </c>
      <c r="U765" s="3066">
        <v>700</v>
      </c>
      <c r="V765" s="3066" t="s">
        <v>3560</v>
      </c>
      <c r="W765" s="3066" t="s">
        <v>3568</v>
      </c>
      <c r="X765" s="3066">
        <v>2.29</v>
      </c>
      <c r="Y765" s="3066">
        <v>960</v>
      </c>
      <c r="Z765" s="3066" t="s">
        <v>3568</v>
      </c>
      <c r="AA765" s="3066" t="s">
        <v>3560</v>
      </c>
      <c r="AB765" s="3066" t="s">
        <v>3920</v>
      </c>
      <c r="AC765" s="3066" t="s">
        <v>3920</v>
      </c>
      <c r="AD765" s="3066" t="s">
        <v>3920</v>
      </c>
      <c r="AE765" s="3066" t="s">
        <v>3560</v>
      </c>
      <c r="AF765" s="3067">
        <v>700</v>
      </c>
      <c r="AG765" s="3066">
        <v>700</v>
      </c>
      <c r="AH765" s="3066">
        <v>80</v>
      </c>
      <c r="AI765" s="3066">
        <v>80</v>
      </c>
      <c r="AJ765" s="3066">
        <v>61.62</v>
      </c>
      <c r="AK765" s="3066">
        <v>61.62</v>
      </c>
      <c r="AL765" s="3066">
        <v>841.62</v>
      </c>
      <c r="AM765" s="3066">
        <v>841.62</v>
      </c>
      <c r="AN765" s="3066" t="s">
        <v>3560</v>
      </c>
      <c r="AP765" s="3068">
        <f t="shared" si="11"/>
        <v>20</v>
      </c>
    </row>
    <row r="766" spans="2:42" ht="27" customHeight="1">
      <c r="B766" s="3066">
        <v>774</v>
      </c>
      <c r="C766" s="3066" t="s">
        <v>3214</v>
      </c>
      <c r="D766" s="3066" t="s">
        <v>3926</v>
      </c>
      <c r="E766" s="3066" t="s">
        <v>5953</v>
      </c>
      <c r="F766" s="3066" t="s">
        <v>3917</v>
      </c>
      <c r="G766" s="3066" t="s">
        <v>1373</v>
      </c>
      <c r="H766" s="3066" t="s">
        <v>3560</v>
      </c>
      <c r="I766" s="3066" t="s">
        <v>5900</v>
      </c>
      <c r="J766" s="3066" t="s">
        <v>3560</v>
      </c>
      <c r="K766" s="3066" t="s">
        <v>3560</v>
      </c>
      <c r="L766" s="3066" t="s">
        <v>5901</v>
      </c>
      <c r="M766" s="3066" t="s">
        <v>5954</v>
      </c>
      <c r="N766" s="3066">
        <v>35</v>
      </c>
      <c r="O766" s="3066" t="s">
        <v>3619</v>
      </c>
      <c r="P766" s="3066" t="s">
        <v>3566</v>
      </c>
      <c r="Q766" s="3066">
        <v>1</v>
      </c>
      <c r="R766" s="3066">
        <v>0</v>
      </c>
      <c r="S766" s="3066" t="s">
        <v>3577</v>
      </c>
      <c r="T766" s="3066">
        <v>21</v>
      </c>
      <c r="U766" s="3066">
        <v>735</v>
      </c>
      <c r="V766" s="3066" t="s">
        <v>3560</v>
      </c>
      <c r="W766" s="3066" t="s">
        <v>3568</v>
      </c>
      <c r="X766" s="3066">
        <v>2.29</v>
      </c>
      <c r="Y766" s="3066">
        <v>960</v>
      </c>
      <c r="Z766" s="3066" t="s">
        <v>3568</v>
      </c>
      <c r="AA766" s="3066" t="s">
        <v>3560</v>
      </c>
      <c r="AB766" s="3066" t="s">
        <v>3584</v>
      </c>
      <c r="AC766" s="3066" t="s">
        <v>3584</v>
      </c>
      <c r="AD766" s="3066" t="s">
        <v>3584</v>
      </c>
      <c r="AE766" s="3066" t="s">
        <v>3560</v>
      </c>
      <c r="AF766" s="3067">
        <v>735</v>
      </c>
      <c r="AG766" s="3066">
        <v>0</v>
      </c>
      <c r="AH766" s="3066">
        <v>80</v>
      </c>
      <c r="AI766" s="3066">
        <v>0</v>
      </c>
      <c r="AJ766" s="3066">
        <v>704.58</v>
      </c>
      <c r="AK766" s="3066">
        <v>0</v>
      </c>
      <c r="AL766" s="3066">
        <v>1519.58</v>
      </c>
      <c r="AM766" s="3066">
        <v>0</v>
      </c>
      <c r="AN766" s="3066" t="s">
        <v>3560</v>
      </c>
      <c r="AP766" s="3068">
        <f t="shared" si="11"/>
        <v>21</v>
      </c>
    </row>
    <row r="767" spans="2:42" ht="27" customHeight="1">
      <c r="B767" s="3066">
        <v>775</v>
      </c>
      <c r="C767" s="3066" t="s">
        <v>3214</v>
      </c>
      <c r="D767" s="3066" t="s">
        <v>3926</v>
      </c>
      <c r="E767" s="3066" t="s">
        <v>5955</v>
      </c>
      <c r="F767" s="3066" t="s">
        <v>3917</v>
      </c>
      <c r="G767" s="3066" t="s">
        <v>1373</v>
      </c>
      <c r="H767" s="3066" t="s">
        <v>3560</v>
      </c>
      <c r="I767" s="3066" t="s">
        <v>3885</v>
      </c>
      <c r="J767" s="3066" t="s">
        <v>3886</v>
      </c>
      <c r="K767" s="3066" t="s">
        <v>3560</v>
      </c>
      <c r="L767" s="3066" t="s">
        <v>3887</v>
      </c>
      <c r="M767" s="3066" t="s">
        <v>5956</v>
      </c>
      <c r="N767" s="3066">
        <v>39</v>
      </c>
      <c r="O767" s="3066" t="s">
        <v>3583</v>
      </c>
      <c r="P767" s="3066" t="s">
        <v>3566</v>
      </c>
      <c r="Q767" s="3066">
        <v>0</v>
      </c>
      <c r="R767" s="3066">
        <v>608</v>
      </c>
      <c r="S767" s="3066" t="s">
        <v>3567</v>
      </c>
      <c r="T767" s="3066">
        <v>21</v>
      </c>
      <c r="U767" s="3066">
        <v>819</v>
      </c>
      <c r="V767" s="3066" t="s">
        <v>3560</v>
      </c>
      <c r="W767" s="3066" t="s">
        <v>3568</v>
      </c>
      <c r="X767" s="3066">
        <v>2</v>
      </c>
      <c r="Y767" s="3066">
        <v>936</v>
      </c>
      <c r="Z767" s="3066" t="s">
        <v>3568</v>
      </c>
      <c r="AA767" s="3066" t="s">
        <v>3560</v>
      </c>
      <c r="AB767" s="3066" t="s">
        <v>3584</v>
      </c>
      <c r="AC767" s="3066" t="s">
        <v>3584</v>
      </c>
      <c r="AD767" s="3066" t="s">
        <v>3584</v>
      </c>
      <c r="AE767" s="3066" t="s">
        <v>3560</v>
      </c>
      <c r="AF767" s="3067">
        <v>819</v>
      </c>
      <c r="AG767" s="3066">
        <v>819</v>
      </c>
      <c r="AH767" s="3066">
        <v>78</v>
      </c>
      <c r="AI767" s="3066">
        <v>78</v>
      </c>
      <c r="AJ767" s="3066">
        <v>105.64</v>
      </c>
      <c r="AK767" s="3066">
        <v>105.64</v>
      </c>
      <c r="AL767" s="3066">
        <v>1002.64</v>
      </c>
      <c r="AM767" s="3066">
        <v>1002.64</v>
      </c>
      <c r="AN767" s="3066" t="s">
        <v>3560</v>
      </c>
      <c r="AP767" s="3068">
        <f t="shared" si="11"/>
        <v>21</v>
      </c>
    </row>
    <row r="768" spans="2:42" ht="27" customHeight="1">
      <c r="B768" s="3066">
        <v>776</v>
      </c>
      <c r="C768" s="3066" t="s">
        <v>3214</v>
      </c>
      <c r="D768" s="3066" t="s">
        <v>4209</v>
      </c>
      <c r="E768" s="3066" t="s">
        <v>5957</v>
      </c>
      <c r="F768" s="3066" t="s">
        <v>3917</v>
      </c>
      <c r="G768" s="3066" t="s">
        <v>1373</v>
      </c>
      <c r="H768" s="3066" t="s">
        <v>3560</v>
      </c>
      <c r="I768" s="3066" t="s">
        <v>3722</v>
      </c>
      <c r="J768" s="3066" t="s">
        <v>3723</v>
      </c>
      <c r="K768" s="3066" t="s">
        <v>3560</v>
      </c>
      <c r="L768" s="3066" t="s">
        <v>3724</v>
      </c>
      <c r="M768" s="3066" t="s">
        <v>5958</v>
      </c>
      <c r="N768" s="3066">
        <v>455</v>
      </c>
      <c r="O768" s="3066" t="s">
        <v>3619</v>
      </c>
      <c r="P768" s="3066" t="s">
        <v>3566</v>
      </c>
      <c r="Q768" s="3066">
        <v>1</v>
      </c>
      <c r="R768" s="3066">
        <v>0</v>
      </c>
      <c r="S768" s="3066" t="s">
        <v>3577</v>
      </c>
      <c r="T768" s="3066">
        <v>20</v>
      </c>
      <c r="U768" s="3066">
        <v>9112</v>
      </c>
      <c r="V768" s="3066" t="s">
        <v>3560</v>
      </c>
      <c r="W768" s="3066" t="s">
        <v>3568</v>
      </c>
      <c r="X768" s="3066">
        <v>2</v>
      </c>
      <c r="Y768" s="3066">
        <v>10934.4</v>
      </c>
      <c r="Z768" s="3066" t="s">
        <v>3568</v>
      </c>
      <c r="AA768" s="3066" t="s">
        <v>3560</v>
      </c>
      <c r="AB768" s="3066" t="s">
        <v>3584</v>
      </c>
      <c r="AC768" s="3066" t="s">
        <v>3584</v>
      </c>
      <c r="AD768" s="3066" t="s">
        <v>3584</v>
      </c>
      <c r="AE768" s="3066" t="s">
        <v>3560</v>
      </c>
      <c r="AF768" s="3067">
        <v>9100</v>
      </c>
      <c r="AG768" s="3066">
        <v>9100</v>
      </c>
      <c r="AH768" s="3066">
        <v>910</v>
      </c>
      <c r="AI768" s="3066">
        <v>910</v>
      </c>
      <c r="AJ768" s="3066">
        <v>696.97</v>
      </c>
      <c r="AK768" s="3066">
        <v>696.97</v>
      </c>
      <c r="AL768" s="3066">
        <v>10706.97</v>
      </c>
      <c r="AM768" s="3066">
        <v>10706.97</v>
      </c>
      <c r="AN768" s="3066" t="s">
        <v>3560</v>
      </c>
      <c r="AP768" s="3068">
        <f t="shared" si="11"/>
        <v>20</v>
      </c>
    </row>
    <row r="769" spans="2:42" ht="27" customHeight="1">
      <c r="B769" s="3066">
        <v>777</v>
      </c>
      <c r="C769" s="3066" t="s">
        <v>3214</v>
      </c>
      <c r="D769" s="3066" t="s">
        <v>4209</v>
      </c>
      <c r="E769" s="3066" t="s">
        <v>5959</v>
      </c>
      <c r="F769" s="3066" t="s">
        <v>3917</v>
      </c>
      <c r="G769" s="3066" t="s">
        <v>1373</v>
      </c>
      <c r="H769" s="3066" t="s">
        <v>3560</v>
      </c>
      <c r="I769" s="3066" t="s">
        <v>3722</v>
      </c>
      <c r="J769" s="3066" t="s">
        <v>3723</v>
      </c>
      <c r="K769" s="3066" t="s">
        <v>3560</v>
      </c>
      <c r="L769" s="3066" t="s">
        <v>3724</v>
      </c>
      <c r="M769" s="3066" t="s">
        <v>5960</v>
      </c>
      <c r="N769" s="3066">
        <v>35</v>
      </c>
      <c r="O769" s="3066" t="s">
        <v>3619</v>
      </c>
      <c r="P769" s="3066" t="s">
        <v>3566</v>
      </c>
      <c r="Q769" s="3066">
        <v>1</v>
      </c>
      <c r="R769" s="3066">
        <v>0</v>
      </c>
      <c r="S769" s="3066" t="s">
        <v>3577</v>
      </c>
      <c r="T769" s="3066">
        <v>20</v>
      </c>
      <c r="U769" s="3066">
        <v>700</v>
      </c>
      <c r="V769" s="3066" t="s">
        <v>3560</v>
      </c>
      <c r="W769" s="3066" t="s">
        <v>3568</v>
      </c>
      <c r="X769" s="3066">
        <v>2</v>
      </c>
      <c r="Y769" s="3066">
        <v>840</v>
      </c>
      <c r="Z769" s="3066" t="s">
        <v>3568</v>
      </c>
      <c r="AA769" s="3066" t="s">
        <v>3560</v>
      </c>
      <c r="AB769" s="3066" t="s">
        <v>3584</v>
      </c>
      <c r="AC769" s="3066" t="s">
        <v>3584</v>
      </c>
      <c r="AD769" s="3066" t="s">
        <v>3584</v>
      </c>
      <c r="AE769" s="3066" t="s">
        <v>3560</v>
      </c>
      <c r="AF769" s="3067">
        <v>700</v>
      </c>
      <c r="AG769" s="3066">
        <v>700</v>
      </c>
      <c r="AH769" s="3066">
        <v>70</v>
      </c>
      <c r="AI769" s="3066">
        <v>70</v>
      </c>
      <c r="AJ769" s="3066">
        <v>1054.5899999999999</v>
      </c>
      <c r="AK769" s="3066">
        <v>1054.5899999999999</v>
      </c>
      <c r="AL769" s="3066">
        <v>1824.59</v>
      </c>
      <c r="AM769" s="3066">
        <v>1824.59</v>
      </c>
      <c r="AN769" s="3066" t="s">
        <v>3560</v>
      </c>
      <c r="AP769" s="3068">
        <f t="shared" si="11"/>
        <v>20</v>
      </c>
    </row>
    <row r="770" spans="2:42" ht="27" customHeight="1">
      <c r="B770" s="3066">
        <v>778</v>
      </c>
      <c r="C770" s="3066" t="s">
        <v>3214</v>
      </c>
      <c r="D770" s="3066" t="s">
        <v>4209</v>
      </c>
      <c r="E770" s="3066" t="s">
        <v>5961</v>
      </c>
      <c r="F770" s="3066" t="s">
        <v>3917</v>
      </c>
      <c r="G770" s="3066" t="s">
        <v>3560</v>
      </c>
      <c r="H770" s="3066" t="s">
        <v>3560</v>
      </c>
      <c r="I770" s="3066" t="s">
        <v>5962</v>
      </c>
      <c r="J770" s="3066" t="s">
        <v>5962</v>
      </c>
      <c r="K770" s="3066" t="s">
        <v>3560</v>
      </c>
      <c r="L770" s="3066" t="s">
        <v>5963</v>
      </c>
      <c r="M770" s="3066" t="s">
        <v>5964</v>
      </c>
      <c r="N770" s="3066">
        <v>35</v>
      </c>
      <c r="O770" s="3066" t="s">
        <v>5965</v>
      </c>
      <c r="P770" s="3066" t="s">
        <v>3566</v>
      </c>
      <c r="Q770" s="3066">
        <v>0</v>
      </c>
      <c r="R770" s="3066">
        <v>3900</v>
      </c>
      <c r="S770" s="3066" t="s">
        <v>3567</v>
      </c>
      <c r="T770" s="3066">
        <v>20</v>
      </c>
      <c r="U770" s="3066">
        <v>700</v>
      </c>
      <c r="V770" s="3066" t="s">
        <v>3560</v>
      </c>
      <c r="W770" s="3066" t="s">
        <v>3568</v>
      </c>
      <c r="X770" s="3066">
        <v>2.29</v>
      </c>
      <c r="Y770" s="3066">
        <v>960</v>
      </c>
      <c r="Z770" s="3066" t="s">
        <v>3568</v>
      </c>
      <c r="AA770" s="3066" t="s">
        <v>3560</v>
      </c>
      <c r="AB770" s="3066" t="s">
        <v>4553</v>
      </c>
      <c r="AC770" s="3066" t="s">
        <v>4553</v>
      </c>
      <c r="AD770" s="3066" t="s">
        <v>4553</v>
      </c>
      <c r="AE770" s="3066" t="s">
        <v>3560</v>
      </c>
      <c r="AF770" s="3067">
        <v>700</v>
      </c>
      <c r="AG770" s="3066">
        <v>0</v>
      </c>
      <c r="AH770" s="3066">
        <v>80</v>
      </c>
      <c r="AI770" s="3066">
        <v>0</v>
      </c>
      <c r="AJ770" s="3066">
        <v>122.21</v>
      </c>
      <c r="AK770" s="3066">
        <v>0</v>
      </c>
      <c r="AL770" s="3066">
        <v>902.21</v>
      </c>
      <c r="AM770" s="3066">
        <v>0</v>
      </c>
      <c r="AN770" s="3066" t="s">
        <v>3560</v>
      </c>
      <c r="AP770" s="3068">
        <f t="shared" si="11"/>
        <v>20</v>
      </c>
    </row>
    <row r="771" spans="2:42" ht="27" customHeight="1">
      <c r="B771" s="3066">
        <v>779</v>
      </c>
      <c r="C771" s="3066" t="s">
        <v>3214</v>
      </c>
      <c r="D771" s="3066" t="s">
        <v>4209</v>
      </c>
      <c r="E771" s="3066" t="s">
        <v>5966</v>
      </c>
      <c r="F771" s="3066" t="s">
        <v>3917</v>
      </c>
      <c r="G771" s="3066" t="s">
        <v>1373</v>
      </c>
      <c r="H771" s="3066" t="s">
        <v>3560</v>
      </c>
      <c r="I771" s="3066" t="s">
        <v>3694</v>
      </c>
      <c r="J771" s="3066" t="s">
        <v>3695</v>
      </c>
      <c r="K771" s="3066" t="s">
        <v>3560</v>
      </c>
      <c r="L771" s="3066" t="s">
        <v>3696</v>
      </c>
      <c r="M771" s="3066" t="s">
        <v>5967</v>
      </c>
      <c r="N771" s="3066">
        <v>35</v>
      </c>
      <c r="O771" s="3066" t="s">
        <v>5968</v>
      </c>
      <c r="P771" s="3066" t="s">
        <v>3940</v>
      </c>
      <c r="Q771" s="3066">
        <v>2</v>
      </c>
      <c r="R771" s="3066">
        <v>6540</v>
      </c>
      <c r="S771" s="3066" t="s">
        <v>3567</v>
      </c>
      <c r="T771" s="3066">
        <v>18</v>
      </c>
      <c r="U771" s="3066">
        <v>630</v>
      </c>
      <c r="V771" s="3066" t="s">
        <v>3560</v>
      </c>
      <c r="W771" s="3066" t="s">
        <v>3568</v>
      </c>
      <c r="X771" s="3066">
        <v>2</v>
      </c>
      <c r="Y771" s="3066">
        <v>840</v>
      </c>
      <c r="Z771" s="3066" t="s">
        <v>3568</v>
      </c>
      <c r="AA771" s="3066" t="s">
        <v>3560</v>
      </c>
      <c r="AB771" s="3066" t="s">
        <v>5969</v>
      </c>
      <c r="AC771" s="3066" t="s">
        <v>5969</v>
      </c>
      <c r="AD771" s="3066" t="s">
        <v>5969</v>
      </c>
      <c r="AE771" s="3066" t="s">
        <v>3560</v>
      </c>
      <c r="AF771" s="3067">
        <v>630</v>
      </c>
      <c r="AG771" s="3066">
        <v>630</v>
      </c>
      <c r="AH771" s="3066">
        <v>70</v>
      </c>
      <c r="AI771" s="3066">
        <v>70</v>
      </c>
      <c r="AJ771" s="3066">
        <v>82.06</v>
      </c>
      <c r="AK771" s="3066">
        <v>82.06</v>
      </c>
      <c r="AL771" s="3066">
        <v>782.06</v>
      </c>
      <c r="AM771" s="3066">
        <v>782.06</v>
      </c>
      <c r="AN771" s="3066" t="s">
        <v>3560</v>
      </c>
      <c r="AP771" s="3068">
        <f t="shared" si="11"/>
        <v>18</v>
      </c>
    </row>
    <row r="772" spans="2:42" ht="27" customHeight="1">
      <c r="B772" s="3066">
        <v>780</v>
      </c>
      <c r="C772" s="3066" t="s">
        <v>3214</v>
      </c>
      <c r="D772" s="3066" t="s">
        <v>4209</v>
      </c>
      <c r="E772" s="3066" t="s">
        <v>5966</v>
      </c>
      <c r="F772" s="3066" t="s">
        <v>3917</v>
      </c>
      <c r="G772" s="3066" t="s">
        <v>1373</v>
      </c>
      <c r="H772" s="3066" t="s">
        <v>3560</v>
      </c>
      <c r="I772" s="3066" t="s">
        <v>3694</v>
      </c>
      <c r="J772" s="3066" t="s">
        <v>3695</v>
      </c>
      <c r="K772" s="3066" t="s">
        <v>3560</v>
      </c>
      <c r="L772" s="3066" t="s">
        <v>3696</v>
      </c>
      <c r="M772" s="3066" t="s">
        <v>5967</v>
      </c>
      <c r="N772" s="3066">
        <v>35</v>
      </c>
      <c r="O772" s="3066" t="s">
        <v>3942</v>
      </c>
      <c r="P772" s="3066" t="s">
        <v>3566</v>
      </c>
      <c r="Q772" s="3066">
        <v>0</v>
      </c>
      <c r="R772" s="3066">
        <v>6540</v>
      </c>
      <c r="S772" s="3066" t="s">
        <v>3567</v>
      </c>
      <c r="T772" s="3066">
        <v>21</v>
      </c>
      <c r="U772" s="3066">
        <v>735</v>
      </c>
      <c r="V772" s="3066" t="s">
        <v>3560</v>
      </c>
      <c r="W772" s="3066" t="s">
        <v>3568</v>
      </c>
      <c r="X772" s="3066">
        <v>2</v>
      </c>
      <c r="Y772" s="3066">
        <v>840</v>
      </c>
      <c r="Z772" s="3066" t="s">
        <v>3568</v>
      </c>
      <c r="AA772" s="3066" t="s">
        <v>3560</v>
      </c>
      <c r="AB772" s="3066" t="s">
        <v>3943</v>
      </c>
      <c r="AC772" s="3066" t="s">
        <v>3943</v>
      </c>
      <c r="AD772" s="3066" t="s">
        <v>3943</v>
      </c>
      <c r="AE772" s="3066" t="s">
        <v>3560</v>
      </c>
      <c r="AF772" s="3067">
        <v>630</v>
      </c>
      <c r="AG772" s="3066">
        <v>630</v>
      </c>
      <c r="AH772" s="3066">
        <v>70</v>
      </c>
      <c r="AI772" s="3066">
        <v>70</v>
      </c>
      <c r="AJ772" s="3066">
        <v>82.06</v>
      </c>
      <c r="AK772" s="3066">
        <v>82.06</v>
      </c>
      <c r="AL772" s="3066">
        <v>782.06</v>
      </c>
      <c r="AM772" s="3066">
        <v>782.06</v>
      </c>
      <c r="AN772" s="3066" t="s">
        <v>3560</v>
      </c>
      <c r="AP772" s="3068">
        <f t="shared" ref="AP772:AP835" si="12">AF772/N772</f>
        <v>18</v>
      </c>
    </row>
    <row r="773" spans="2:42" ht="27" customHeight="1">
      <c r="B773" s="3066">
        <v>781</v>
      </c>
      <c r="C773" s="3066" t="s">
        <v>3214</v>
      </c>
      <c r="D773" s="3066" t="s">
        <v>4209</v>
      </c>
      <c r="E773" s="3066" t="s">
        <v>5970</v>
      </c>
      <c r="F773" s="3066" t="s">
        <v>3917</v>
      </c>
      <c r="G773" s="3066" t="s">
        <v>1373</v>
      </c>
      <c r="H773" s="3066" t="s">
        <v>3560</v>
      </c>
      <c r="I773" s="3066" t="s">
        <v>3694</v>
      </c>
      <c r="J773" s="3066" t="s">
        <v>3695</v>
      </c>
      <c r="K773" s="3066" t="s">
        <v>3560</v>
      </c>
      <c r="L773" s="3066" t="s">
        <v>3696</v>
      </c>
      <c r="M773" s="3066" t="s">
        <v>5971</v>
      </c>
      <c r="N773" s="3066">
        <v>35</v>
      </c>
      <c r="O773" s="3066" t="s">
        <v>5968</v>
      </c>
      <c r="P773" s="3066" t="s">
        <v>3940</v>
      </c>
      <c r="Q773" s="3066">
        <v>2</v>
      </c>
      <c r="R773" s="3066">
        <v>0</v>
      </c>
      <c r="S773" s="3066" t="s">
        <v>3577</v>
      </c>
      <c r="T773" s="3066">
        <v>18</v>
      </c>
      <c r="U773" s="3066">
        <v>630</v>
      </c>
      <c r="V773" s="3066" t="s">
        <v>3560</v>
      </c>
      <c r="W773" s="3066" t="s">
        <v>3568</v>
      </c>
      <c r="X773" s="3066">
        <v>2</v>
      </c>
      <c r="Y773" s="3066">
        <v>840</v>
      </c>
      <c r="Z773" s="3066" t="s">
        <v>3568</v>
      </c>
      <c r="AA773" s="3066" t="s">
        <v>3560</v>
      </c>
      <c r="AB773" s="3066" t="s">
        <v>5969</v>
      </c>
      <c r="AC773" s="3066" t="s">
        <v>5969</v>
      </c>
      <c r="AD773" s="3066" t="s">
        <v>5969</v>
      </c>
      <c r="AE773" s="3066" t="s">
        <v>3560</v>
      </c>
      <c r="AF773" s="3067">
        <v>630</v>
      </c>
      <c r="AG773" s="3066">
        <v>630</v>
      </c>
      <c r="AH773" s="3066">
        <v>70</v>
      </c>
      <c r="AI773" s="3066">
        <v>70</v>
      </c>
      <c r="AJ773" s="3066">
        <v>198.5</v>
      </c>
      <c r="AK773" s="3066">
        <v>198.5</v>
      </c>
      <c r="AL773" s="3066">
        <v>898.5</v>
      </c>
      <c r="AM773" s="3066">
        <v>898.5</v>
      </c>
      <c r="AN773" s="3066" t="s">
        <v>3560</v>
      </c>
      <c r="AP773" s="3068">
        <f t="shared" si="12"/>
        <v>18</v>
      </c>
    </row>
    <row r="774" spans="2:42" ht="27" customHeight="1">
      <c r="B774" s="3066">
        <v>782</v>
      </c>
      <c r="C774" s="3066" t="s">
        <v>3214</v>
      </c>
      <c r="D774" s="3066" t="s">
        <v>4209</v>
      </c>
      <c r="E774" s="3066" t="s">
        <v>5970</v>
      </c>
      <c r="F774" s="3066" t="s">
        <v>3917</v>
      </c>
      <c r="G774" s="3066" t="s">
        <v>1373</v>
      </c>
      <c r="H774" s="3066" t="s">
        <v>3560</v>
      </c>
      <c r="I774" s="3066" t="s">
        <v>3694</v>
      </c>
      <c r="J774" s="3066" t="s">
        <v>3695</v>
      </c>
      <c r="K774" s="3066" t="s">
        <v>3560</v>
      </c>
      <c r="L774" s="3066" t="s">
        <v>3696</v>
      </c>
      <c r="M774" s="3066" t="s">
        <v>5971</v>
      </c>
      <c r="N774" s="3066">
        <v>35</v>
      </c>
      <c r="O774" s="3066" t="s">
        <v>3942</v>
      </c>
      <c r="P774" s="3066" t="s">
        <v>3566</v>
      </c>
      <c r="Q774" s="3066">
        <v>0</v>
      </c>
      <c r="R774" s="3066">
        <v>0</v>
      </c>
      <c r="S774" s="3066" t="s">
        <v>3577</v>
      </c>
      <c r="T774" s="3066">
        <v>21</v>
      </c>
      <c r="U774" s="3066">
        <v>735</v>
      </c>
      <c r="V774" s="3066" t="s">
        <v>3560</v>
      </c>
      <c r="W774" s="3066" t="s">
        <v>3568</v>
      </c>
      <c r="X774" s="3066">
        <v>2</v>
      </c>
      <c r="Y774" s="3066">
        <v>840</v>
      </c>
      <c r="Z774" s="3066" t="s">
        <v>3568</v>
      </c>
      <c r="AA774" s="3066" t="s">
        <v>3560</v>
      </c>
      <c r="AB774" s="3066" t="s">
        <v>3943</v>
      </c>
      <c r="AC774" s="3066" t="s">
        <v>3943</v>
      </c>
      <c r="AD774" s="3066" t="s">
        <v>3943</v>
      </c>
      <c r="AE774" s="3066" t="s">
        <v>3560</v>
      </c>
      <c r="AF774" s="3067">
        <v>630</v>
      </c>
      <c r="AG774" s="3066">
        <v>630</v>
      </c>
      <c r="AH774" s="3066">
        <v>70</v>
      </c>
      <c r="AI774" s="3066">
        <v>70</v>
      </c>
      <c r="AJ774" s="3066">
        <v>198.5</v>
      </c>
      <c r="AK774" s="3066">
        <v>198.5</v>
      </c>
      <c r="AL774" s="3066">
        <v>898.5</v>
      </c>
      <c r="AM774" s="3066">
        <v>898.5</v>
      </c>
      <c r="AN774" s="3066" t="s">
        <v>3560</v>
      </c>
      <c r="AP774" s="3068">
        <f t="shared" si="12"/>
        <v>18</v>
      </c>
    </row>
    <row r="775" spans="2:42" ht="27" customHeight="1">
      <c r="B775" s="3066">
        <v>783</v>
      </c>
      <c r="C775" s="3066" t="s">
        <v>3214</v>
      </c>
      <c r="D775" s="3066" t="s">
        <v>4209</v>
      </c>
      <c r="E775" s="3066" t="s">
        <v>5972</v>
      </c>
      <c r="F775" s="3066" t="s">
        <v>3917</v>
      </c>
      <c r="G775" s="3066" t="s">
        <v>1373</v>
      </c>
      <c r="H775" s="3066" t="s">
        <v>3560</v>
      </c>
      <c r="I775" s="3066" t="s">
        <v>3694</v>
      </c>
      <c r="J775" s="3066" t="s">
        <v>3695</v>
      </c>
      <c r="K775" s="3066" t="s">
        <v>3560</v>
      </c>
      <c r="L775" s="3066" t="s">
        <v>3696</v>
      </c>
      <c r="M775" s="3066" t="s">
        <v>5973</v>
      </c>
      <c r="N775" s="3066">
        <v>39</v>
      </c>
      <c r="O775" s="3066" t="s">
        <v>5968</v>
      </c>
      <c r="P775" s="3066" t="s">
        <v>3940</v>
      </c>
      <c r="Q775" s="3066">
        <v>2</v>
      </c>
      <c r="R775" s="3066">
        <v>0</v>
      </c>
      <c r="S775" s="3066" t="s">
        <v>3577</v>
      </c>
      <c r="T775" s="3066">
        <v>18</v>
      </c>
      <c r="U775" s="3066">
        <v>702</v>
      </c>
      <c r="V775" s="3066" t="s">
        <v>3560</v>
      </c>
      <c r="W775" s="3066" t="s">
        <v>3568</v>
      </c>
      <c r="X775" s="3066">
        <v>2</v>
      </c>
      <c r="Y775" s="3066">
        <v>936</v>
      </c>
      <c r="Z775" s="3066" t="s">
        <v>3568</v>
      </c>
      <c r="AA775" s="3066" t="s">
        <v>3560</v>
      </c>
      <c r="AB775" s="3066" t="s">
        <v>5969</v>
      </c>
      <c r="AC775" s="3066" t="s">
        <v>5969</v>
      </c>
      <c r="AD775" s="3066" t="s">
        <v>5969</v>
      </c>
      <c r="AE775" s="3066" t="s">
        <v>3560</v>
      </c>
      <c r="AF775" s="3067">
        <v>702</v>
      </c>
      <c r="AG775" s="3066">
        <v>702</v>
      </c>
      <c r="AH775" s="3066">
        <v>78</v>
      </c>
      <c r="AI775" s="3066">
        <v>78</v>
      </c>
      <c r="AJ775" s="3066">
        <v>204.04</v>
      </c>
      <c r="AK775" s="3066">
        <v>204.04</v>
      </c>
      <c r="AL775" s="3066">
        <v>984.04</v>
      </c>
      <c r="AM775" s="3066">
        <v>984.04</v>
      </c>
      <c r="AN775" s="3066" t="s">
        <v>3560</v>
      </c>
      <c r="AP775" s="3068">
        <f t="shared" si="12"/>
        <v>18</v>
      </c>
    </row>
    <row r="776" spans="2:42" ht="27" customHeight="1">
      <c r="B776" s="3066">
        <v>784</v>
      </c>
      <c r="C776" s="3066" t="s">
        <v>3214</v>
      </c>
      <c r="D776" s="3066" t="s">
        <v>4209</v>
      </c>
      <c r="E776" s="3066" t="s">
        <v>5972</v>
      </c>
      <c r="F776" s="3066" t="s">
        <v>3917</v>
      </c>
      <c r="G776" s="3066" t="s">
        <v>1373</v>
      </c>
      <c r="H776" s="3066" t="s">
        <v>3560</v>
      </c>
      <c r="I776" s="3066" t="s">
        <v>3694</v>
      </c>
      <c r="J776" s="3066" t="s">
        <v>3695</v>
      </c>
      <c r="K776" s="3066" t="s">
        <v>3560</v>
      </c>
      <c r="L776" s="3066" t="s">
        <v>3696</v>
      </c>
      <c r="M776" s="3066" t="s">
        <v>5973</v>
      </c>
      <c r="N776" s="3066">
        <v>39</v>
      </c>
      <c r="O776" s="3066" t="s">
        <v>3942</v>
      </c>
      <c r="P776" s="3066" t="s">
        <v>3566</v>
      </c>
      <c r="Q776" s="3066">
        <v>0</v>
      </c>
      <c r="R776" s="3066">
        <v>0</v>
      </c>
      <c r="S776" s="3066" t="s">
        <v>3577</v>
      </c>
      <c r="T776" s="3066">
        <v>21</v>
      </c>
      <c r="U776" s="3066">
        <v>819</v>
      </c>
      <c r="V776" s="3066" t="s">
        <v>3560</v>
      </c>
      <c r="W776" s="3066" t="s">
        <v>3568</v>
      </c>
      <c r="X776" s="3066">
        <v>2</v>
      </c>
      <c r="Y776" s="3066">
        <v>936</v>
      </c>
      <c r="Z776" s="3066" t="s">
        <v>3568</v>
      </c>
      <c r="AA776" s="3066" t="s">
        <v>3560</v>
      </c>
      <c r="AB776" s="3066" t="s">
        <v>3943</v>
      </c>
      <c r="AC776" s="3066" t="s">
        <v>3943</v>
      </c>
      <c r="AD776" s="3066" t="s">
        <v>3943</v>
      </c>
      <c r="AE776" s="3066" t="s">
        <v>3560</v>
      </c>
      <c r="AF776" s="3067">
        <v>702</v>
      </c>
      <c r="AG776" s="3066">
        <v>702</v>
      </c>
      <c r="AH776" s="3066">
        <v>78</v>
      </c>
      <c r="AI776" s="3066">
        <v>78</v>
      </c>
      <c r="AJ776" s="3066">
        <v>204.04</v>
      </c>
      <c r="AK776" s="3066">
        <v>204.04</v>
      </c>
      <c r="AL776" s="3066">
        <v>984.04</v>
      </c>
      <c r="AM776" s="3066">
        <v>984.04</v>
      </c>
      <c r="AN776" s="3066" t="s">
        <v>3560</v>
      </c>
      <c r="AP776" s="3068">
        <f t="shared" si="12"/>
        <v>18</v>
      </c>
    </row>
    <row r="777" spans="2:42" ht="27" customHeight="1">
      <c r="B777" s="3066">
        <v>785</v>
      </c>
      <c r="C777" s="3066" t="s">
        <v>3218</v>
      </c>
      <c r="D777" s="3066" t="s">
        <v>3972</v>
      </c>
      <c r="E777" s="3066" t="s">
        <v>5974</v>
      </c>
      <c r="F777" s="3066" t="s">
        <v>3917</v>
      </c>
      <c r="G777" s="3066" t="s">
        <v>1373</v>
      </c>
      <c r="H777" s="3066" t="s">
        <v>3560</v>
      </c>
      <c r="I777" s="3066" t="s">
        <v>3793</v>
      </c>
      <c r="J777" s="3066" t="s">
        <v>3794</v>
      </c>
      <c r="K777" s="3066" t="s">
        <v>3560</v>
      </c>
      <c r="L777" s="3066" t="s">
        <v>3795</v>
      </c>
      <c r="M777" s="3066" t="s">
        <v>5975</v>
      </c>
      <c r="N777" s="3066">
        <v>2976.2</v>
      </c>
      <c r="O777" s="3066" t="s">
        <v>3797</v>
      </c>
      <c r="P777" s="3066" t="s">
        <v>3566</v>
      </c>
      <c r="Q777" s="3066">
        <v>2</v>
      </c>
      <c r="R777" s="3066">
        <v>19048</v>
      </c>
      <c r="S777" s="3066" t="s">
        <v>3567</v>
      </c>
      <c r="T777" s="3066">
        <v>18</v>
      </c>
      <c r="U777" s="3066">
        <v>53571.6</v>
      </c>
      <c r="V777" s="3066" t="s">
        <v>3560</v>
      </c>
      <c r="W777" s="3066" t="s">
        <v>3568</v>
      </c>
      <c r="X777" s="3066">
        <v>2</v>
      </c>
      <c r="Y777" s="3066">
        <v>71428.800000000003</v>
      </c>
      <c r="Z777" s="3066" t="s">
        <v>3568</v>
      </c>
      <c r="AA777" s="3066" t="s">
        <v>3560</v>
      </c>
      <c r="AB777" s="3066" t="s">
        <v>3798</v>
      </c>
      <c r="AC777" s="3066" t="s">
        <v>3798</v>
      </c>
      <c r="AD777" s="3066" t="s">
        <v>3798</v>
      </c>
      <c r="AE777" s="3066" t="s">
        <v>3560</v>
      </c>
      <c r="AF777" s="3067">
        <v>53571.6</v>
      </c>
      <c r="AG777" s="3066">
        <v>53571.6</v>
      </c>
      <c r="AH777" s="3066">
        <v>5952.4</v>
      </c>
      <c r="AI777" s="3066">
        <v>5952.4</v>
      </c>
      <c r="AJ777" s="3066">
        <v>2906.53</v>
      </c>
      <c r="AK777" s="3066">
        <v>2906.53</v>
      </c>
      <c r="AL777" s="3066">
        <v>62430.53</v>
      </c>
      <c r="AM777" s="3066">
        <v>62430.53</v>
      </c>
      <c r="AN777" s="3066" t="s">
        <v>3560</v>
      </c>
      <c r="AP777" s="3068">
        <f t="shared" si="12"/>
        <v>18</v>
      </c>
    </row>
    <row r="778" spans="2:42" ht="27" customHeight="1">
      <c r="B778" s="3066">
        <v>786</v>
      </c>
      <c r="C778" s="3066" t="s">
        <v>3224</v>
      </c>
      <c r="D778" s="3066" t="s">
        <v>4019</v>
      </c>
      <c r="E778" s="3066" t="s">
        <v>5976</v>
      </c>
      <c r="F778" s="3066" t="s">
        <v>3917</v>
      </c>
      <c r="G778" s="3066" t="s">
        <v>1373</v>
      </c>
      <c r="H778" s="3066" t="s">
        <v>3560</v>
      </c>
      <c r="I778" s="3066" t="s">
        <v>5977</v>
      </c>
      <c r="J778" s="3066" t="s">
        <v>5978</v>
      </c>
      <c r="K778" s="3066" t="s">
        <v>3560</v>
      </c>
      <c r="L778" s="3066" t="s">
        <v>5979</v>
      </c>
      <c r="M778" s="3066" t="s">
        <v>5980</v>
      </c>
      <c r="N778" s="3066">
        <v>491.8</v>
      </c>
      <c r="O778" s="3066" t="s">
        <v>3931</v>
      </c>
      <c r="P778" s="3066" t="s">
        <v>3566</v>
      </c>
      <c r="Q778" s="3066">
        <v>1</v>
      </c>
      <c r="R778" s="3066">
        <v>0</v>
      </c>
      <c r="S778" s="3066" t="s">
        <v>3577</v>
      </c>
      <c r="T778" s="3066">
        <v>20</v>
      </c>
      <c r="U778" s="3066">
        <v>9836</v>
      </c>
      <c r="V778" s="3066" t="s">
        <v>3560</v>
      </c>
      <c r="W778" s="3066" t="s">
        <v>3568</v>
      </c>
      <c r="X778" s="3066">
        <v>2</v>
      </c>
      <c r="Y778" s="3066">
        <v>11803.2</v>
      </c>
      <c r="Z778" s="3066" t="s">
        <v>3568</v>
      </c>
      <c r="AA778" s="3066" t="s">
        <v>3560</v>
      </c>
      <c r="AB778" s="3066" t="s">
        <v>3932</v>
      </c>
      <c r="AC778" s="3066" t="s">
        <v>3932</v>
      </c>
      <c r="AD778" s="3066" t="s">
        <v>3932</v>
      </c>
      <c r="AE778" s="3066" t="s">
        <v>3560</v>
      </c>
      <c r="AF778" s="3067">
        <v>9836</v>
      </c>
      <c r="AG778" s="3066">
        <v>0</v>
      </c>
      <c r="AH778" s="3066">
        <v>983.6</v>
      </c>
      <c r="AI778" s="3066">
        <v>0</v>
      </c>
      <c r="AJ778" s="3066">
        <v>553.69000000000005</v>
      </c>
      <c r="AK778" s="3066">
        <v>0</v>
      </c>
      <c r="AL778" s="3066">
        <v>11373.29</v>
      </c>
      <c r="AM778" s="3066">
        <v>0</v>
      </c>
      <c r="AN778" s="3066" t="s">
        <v>3560</v>
      </c>
      <c r="AP778" s="3068">
        <f t="shared" si="12"/>
        <v>20</v>
      </c>
    </row>
    <row r="779" spans="2:42" ht="27" customHeight="1">
      <c r="B779" s="3066">
        <v>787</v>
      </c>
      <c r="C779" s="3066" t="s">
        <v>3224</v>
      </c>
      <c r="D779" s="3066" t="s">
        <v>4053</v>
      </c>
      <c r="E779" s="3066" t="s">
        <v>5981</v>
      </c>
      <c r="F779" s="3066" t="s">
        <v>3917</v>
      </c>
      <c r="G779" s="3066" t="s">
        <v>1373</v>
      </c>
      <c r="H779" s="3066" t="s">
        <v>3560</v>
      </c>
      <c r="I779" s="3066" t="s">
        <v>5977</v>
      </c>
      <c r="J779" s="3066" t="s">
        <v>5978</v>
      </c>
      <c r="K779" s="3066" t="s">
        <v>3560</v>
      </c>
      <c r="L779" s="3066" t="s">
        <v>5979</v>
      </c>
      <c r="M779" s="3066" t="s">
        <v>5982</v>
      </c>
      <c r="N779" s="3066">
        <v>491.8</v>
      </c>
      <c r="O779" s="3066" t="s">
        <v>3931</v>
      </c>
      <c r="P779" s="3066" t="s">
        <v>3566</v>
      </c>
      <c r="Q779" s="3066">
        <v>1</v>
      </c>
      <c r="R779" s="3066">
        <v>0</v>
      </c>
      <c r="S779" s="3066" t="s">
        <v>3577</v>
      </c>
      <c r="T779" s="3066">
        <v>20</v>
      </c>
      <c r="U779" s="3066">
        <v>9836</v>
      </c>
      <c r="V779" s="3066" t="s">
        <v>3560</v>
      </c>
      <c r="W779" s="3066" t="s">
        <v>3568</v>
      </c>
      <c r="X779" s="3066">
        <v>2</v>
      </c>
      <c r="Y779" s="3066">
        <v>11803.2</v>
      </c>
      <c r="Z779" s="3066" t="s">
        <v>3568</v>
      </c>
      <c r="AA779" s="3066" t="s">
        <v>3560</v>
      </c>
      <c r="AB779" s="3066" t="s">
        <v>3932</v>
      </c>
      <c r="AC779" s="3066" t="s">
        <v>3932</v>
      </c>
      <c r="AD779" s="3066" t="s">
        <v>3932</v>
      </c>
      <c r="AE779" s="3066" t="s">
        <v>3560</v>
      </c>
      <c r="AF779" s="3067">
        <v>9836</v>
      </c>
      <c r="AG779" s="3066">
        <v>0</v>
      </c>
      <c r="AH779" s="3066">
        <v>983.6</v>
      </c>
      <c r="AI779" s="3066">
        <v>0</v>
      </c>
      <c r="AJ779" s="3066">
        <v>1316.33</v>
      </c>
      <c r="AK779" s="3066">
        <v>0</v>
      </c>
      <c r="AL779" s="3066">
        <v>12135.93</v>
      </c>
      <c r="AM779" s="3066">
        <v>0</v>
      </c>
      <c r="AN779" s="3066" t="s">
        <v>3560</v>
      </c>
      <c r="AP779" s="3068">
        <f t="shared" si="12"/>
        <v>20</v>
      </c>
    </row>
    <row r="780" spans="2:42" ht="27" customHeight="1">
      <c r="B780" s="3066">
        <v>788</v>
      </c>
      <c r="C780" s="3066" t="s">
        <v>3224</v>
      </c>
      <c r="D780" s="3066" t="s">
        <v>3915</v>
      </c>
      <c r="E780" s="3066" t="s">
        <v>5983</v>
      </c>
      <c r="F780" s="3066" t="s">
        <v>3917</v>
      </c>
      <c r="G780" s="3066" t="s">
        <v>1373</v>
      </c>
      <c r="H780" s="3066" t="s">
        <v>3560</v>
      </c>
      <c r="I780" s="3066" t="s">
        <v>5977</v>
      </c>
      <c r="J780" s="3066" t="s">
        <v>5978</v>
      </c>
      <c r="K780" s="3066" t="s">
        <v>3560</v>
      </c>
      <c r="L780" s="3066" t="s">
        <v>5979</v>
      </c>
      <c r="M780" s="3066" t="s">
        <v>5984</v>
      </c>
      <c r="N780" s="3066">
        <v>491.8</v>
      </c>
      <c r="O780" s="3066" t="s">
        <v>3931</v>
      </c>
      <c r="P780" s="3066" t="s">
        <v>3566</v>
      </c>
      <c r="Q780" s="3066">
        <v>1</v>
      </c>
      <c r="R780" s="3066">
        <v>0</v>
      </c>
      <c r="S780" s="3066" t="s">
        <v>3577</v>
      </c>
      <c r="T780" s="3066">
        <v>20</v>
      </c>
      <c r="U780" s="3066">
        <v>9836</v>
      </c>
      <c r="V780" s="3066" t="s">
        <v>3560</v>
      </c>
      <c r="W780" s="3066" t="s">
        <v>3568</v>
      </c>
      <c r="X780" s="3066">
        <v>2</v>
      </c>
      <c r="Y780" s="3066">
        <v>11803.2</v>
      </c>
      <c r="Z780" s="3066" t="s">
        <v>3568</v>
      </c>
      <c r="AA780" s="3066" t="s">
        <v>3560</v>
      </c>
      <c r="AB780" s="3066" t="s">
        <v>3932</v>
      </c>
      <c r="AC780" s="3066" t="s">
        <v>3932</v>
      </c>
      <c r="AD780" s="3066" t="s">
        <v>3932</v>
      </c>
      <c r="AE780" s="3066" t="s">
        <v>3560</v>
      </c>
      <c r="AF780" s="3067">
        <v>9836</v>
      </c>
      <c r="AG780" s="3066">
        <v>0</v>
      </c>
      <c r="AH780" s="3066">
        <v>983.6</v>
      </c>
      <c r="AI780" s="3066">
        <v>0</v>
      </c>
      <c r="AJ780" s="3066">
        <v>1437.8</v>
      </c>
      <c r="AK780" s="3066">
        <v>0</v>
      </c>
      <c r="AL780" s="3066">
        <v>12257.4</v>
      </c>
      <c r="AM780" s="3066">
        <v>0</v>
      </c>
      <c r="AN780" s="3066" t="s">
        <v>3560</v>
      </c>
      <c r="AP780" s="3068">
        <f t="shared" si="12"/>
        <v>20</v>
      </c>
    </row>
    <row r="781" spans="2:42" ht="27" customHeight="1">
      <c r="B781" s="3066">
        <v>789</v>
      </c>
      <c r="C781" s="3066" t="s">
        <v>3224</v>
      </c>
      <c r="D781" s="3066" t="s">
        <v>3926</v>
      </c>
      <c r="E781" s="3066" t="s">
        <v>5985</v>
      </c>
      <c r="F781" s="3066" t="s">
        <v>3917</v>
      </c>
      <c r="G781" s="3066" t="s">
        <v>1373</v>
      </c>
      <c r="H781" s="3066" t="s">
        <v>3560</v>
      </c>
      <c r="I781" s="3066" t="s">
        <v>5977</v>
      </c>
      <c r="J781" s="3066" t="s">
        <v>5978</v>
      </c>
      <c r="K781" s="3066" t="s">
        <v>3560</v>
      </c>
      <c r="L781" s="3066" t="s">
        <v>5979</v>
      </c>
      <c r="M781" s="3066" t="s">
        <v>5986</v>
      </c>
      <c r="N781" s="3066">
        <v>491.8</v>
      </c>
      <c r="O781" s="3066" t="s">
        <v>3931</v>
      </c>
      <c r="P781" s="3066" t="s">
        <v>3566</v>
      </c>
      <c r="Q781" s="3066">
        <v>1</v>
      </c>
      <c r="R781" s="3066">
        <v>0</v>
      </c>
      <c r="S781" s="3066" t="s">
        <v>3577</v>
      </c>
      <c r="T781" s="3066">
        <v>20</v>
      </c>
      <c r="U781" s="3066">
        <v>9836</v>
      </c>
      <c r="V781" s="3066" t="s">
        <v>3560</v>
      </c>
      <c r="W781" s="3066" t="s">
        <v>3568</v>
      </c>
      <c r="X781" s="3066">
        <v>2</v>
      </c>
      <c r="Y781" s="3066">
        <v>11803.2</v>
      </c>
      <c r="Z781" s="3066" t="s">
        <v>3568</v>
      </c>
      <c r="AA781" s="3066" t="s">
        <v>3560</v>
      </c>
      <c r="AB781" s="3066" t="s">
        <v>3932</v>
      </c>
      <c r="AC781" s="3066" t="s">
        <v>3932</v>
      </c>
      <c r="AD781" s="3066" t="s">
        <v>3932</v>
      </c>
      <c r="AE781" s="3066" t="s">
        <v>3560</v>
      </c>
      <c r="AF781" s="3067">
        <v>9836</v>
      </c>
      <c r="AG781" s="3066">
        <v>0</v>
      </c>
      <c r="AH781" s="3066">
        <v>983.6</v>
      </c>
      <c r="AI781" s="3066">
        <v>0</v>
      </c>
      <c r="AJ781" s="3066">
        <v>1506.22</v>
      </c>
      <c r="AK781" s="3066">
        <v>0</v>
      </c>
      <c r="AL781" s="3066">
        <v>12325.82</v>
      </c>
      <c r="AM781" s="3066">
        <v>0</v>
      </c>
      <c r="AN781" s="3066" t="s">
        <v>3560</v>
      </c>
      <c r="AP781" s="3068">
        <f t="shared" si="12"/>
        <v>20</v>
      </c>
    </row>
    <row r="782" spans="2:42" ht="27" customHeight="1">
      <c r="B782" s="3066">
        <v>790</v>
      </c>
      <c r="C782" s="3066" t="s">
        <v>3224</v>
      </c>
      <c r="D782" s="3066" t="s">
        <v>3972</v>
      </c>
      <c r="E782" s="3066" t="s">
        <v>5987</v>
      </c>
      <c r="F782" s="3066" t="s">
        <v>3917</v>
      </c>
      <c r="G782" s="3066" t="s">
        <v>3560</v>
      </c>
      <c r="H782" s="3066" t="s">
        <v>3560</v>
      </c>
      <c r="I782" s="3066" t="s">
        <v>5988</v>
      </c>
      <c r="J782" s="3066" t="s">
        <v>5988</v>
      </c>
      <c r="K782" s="3066" t="s">
        <v>3560</v>
      </c>
      <c r="L782" s="3066" t="s">
        <v>5989</v>
      </c>
      <c r="M782" s="3066" t="s">
        <v>5990</v>
      </c>
      <c r="N782" s="3066">
        <v>37.5</v>
      </c>
      <c r="O782" s="3066" t="s">
        <v>3608</v>
      </c>
      <c r="P782" s="3066" t="s">
        <v>3566</v>
      </c>
      <c r="Q782" s="3066">
        <v>1</v>
      </c>
      <c r="R782" s="3066">
        <v>4175</v>
      </c>
      <c r="S782" s="3066" t="s">
        <v>3567</v>
      </c>
      <c r="T782" s="3066">
        <v>20</v>
      </c>
      <c r="U782" s="3066">
        <v>750</v>
      </c>
      <c r="V782" s="3066" t="s">
        <v>3560</v>
      </c>
      <c r="W782" s="3066" t="s">
        <v>3568</v>
      </c>
      <c r="X782" s="3066">
        <v>2.27</v>
      </c>
      <c r="Y782" s="3066">
        <v>1020</v>
      </c>
      <c r="Z782" s="3066" t="s">
        <v>3568</v>
      </c>
      <c r="AA782" s="3066" t="s">
        <v>3560</v>
      </c>
      <c r="AB782" s="3066" t="s">
        <v>3609</v>
      </c>
      <c r="AC782" s="3066" t="s">
        <v>3609</v>
      </c>
      <c r="AD782" s="3066" t="s">
        <v>3609</v>
      </c>
      <c r="AE782" s="3066" t="s">
        <v>3560</v>
      </c>
      <c r="AF782" s="3067">
        <v>750</v>
      </c>
      <c r="AG782" s="3066">
        <v>750</v>
      </c>
      <c r="AH782" s="3066">
        <v>85</v>
      </c>
      <c r="AI782" s="3066">
        <v>85</v>
      </c>
      <c r="AJ782" s="3066">
        <v>53.46</v>
      </c>
      <c r="AK782" s="3066">
        <v>53.46</v>
      </c>
      <c r="AL782" s="3066">
        <v>888.46</v>
      </c>
      <c r="AM782" s="3066">
        <v>888.46</v>
      </c>
      <c r="AN782" s="3066" t="s">
        <v>3560</v>
      </c>
      <c r="AP782" s="3068">
        <f t="shared" si="12"/>
        <v>20</v>
      </c>
    </row>
    <row r="783" spans="2:42" ht="27" customHeight="1">
      <c r="B783" s="3066">
        <v>791</v>
      </c>
      <c r="C783" s="3066" t="s">
        <v>3224</v>
      </c>
      <c r="D783" s="3066" t="s">
        <v>3972</v>
      </c>
      <c r="E783" s="3066" t="s">
        <v>5991</v>
      </c>
      <c r="F783" s="3066" t="s">
        <v>3917</v>
      </c>
      <c r="G783" s="3066" t="s">
        <v>1373</v>
      </c>
      <c r="H783" s="3066" t="s">
        <v>3560</v>
      </c>
      <c r="I783" s="3066" t="s">
        <v>3706</v>
      </c>
      <c r="J783" s="3066" t="s">
        <v>3707</v>
      </c>
      <c r="K783" s="3066" t="s">
        <v>3560</v>
      </c>
      <c r="L783" s="3066" t="s">
        <v>3708</v>
      </c>
      <c r="M783" s="3066" t="s">
        <v>5992</v>
      </c>
      <c r="N783" s="3066">
        <v>37.5</v>
      </c>
      <c r="O783" s="3066" t="s">
        <v>3744</v>
      </c>
      <c r="P783" s="3066" t="s">
        <v>3566</v>
      </c>
      <c r="Q783" s="3066">
        <v>1</v>
      </c>
      <c r="R783" s="3066">
        <v>3282</v>
      </c>
      <c r="S783" s="3066" t="s">
        <v>3567</v>
      </c>
      <c r="T783" s="3066">
        <v>20</v>
      </c>
      <c r="U783" s="3066">
        <v>750</v>
      </c>
      <c r="V783" s="3066" t="s">
        <v>3560</v>
      </c>
      <c r="W783" s="3066" t="s">
        <v>3568</v>
      </c>
      <c r="X783" s="3066">
        <v>2</v>
      </c>
      <c r="Y783" s="3066">
        <v>900</v>
      </c>
      <c r="Z783" s="3066" t="s">
        <v>3568</v>
      </c>
      <c r="AA783" s="3066" t="s">
        <v>3560</v>
      </c>
      <c r="AB783" s="3066" t="s">
        <v>3746</v>
      </c>
      <c r="AC783" s="3066" t="s">
        <v>3746</v>
      </c>
      <c r="AD783" s="3066" t="s">
        <v>3746</v>
      </c>
      <c r="AE783" s="3066" t="s">
        <v>3560</v>
      </c>
      <c r="AF783" s="3067">
        <v>750</v>
      </c>
      <c r="AG783" s="3066">
        <v>0</v>
      </c>
      <c r="AH783" s="3066">
        <v>75</v>
      </c>
      <c r="AI783" s="3066">
        <v>0</v>
      </c>
      <c r="AJ783" s="3066">
        <v>88.09</v>
      </c>
      <c r="AK783" s="3066">
        <v>0</v>
      </c>
      <c r="AL783" s="3066">
        <v>913.09</v>
      </c>
      <c r="AM783" s="3066">
        <v>0</v>
      </c>
      <c r="AN783" s="3066" t="s">
        <v>3560</v>
      </c>
      <c r="AP783" s="3068">
        <f t="shared" si="12"/>
        <v>20</v>
      </c>
    </row>
    <row r="784" spans="2:42" ht="27" customHeight="1">
      <c r="B784" s="3066">
        <v>792</v>
      </c>
      <c r="C784" s="3066" t="s">
        <v>3224</v>
      </c>
      <c r="D784" s="3066" t="s">
        <v>3972</v>
      </c>
      <c r="E784" s="3066" t="s">
        <v>5993</v>
      </c>
      <c r="F784" s="3066" t="s">
        <v>3917</v>
      </c>
      <c r="G784" s="3066" t="s">
        <v>1373</v>
      </c>
      <c r="H784" s="3066" t="s">
        <v>3560</v>
      </c>
      <c r="I784" s="3066" t="s">
        <v>5994</v>
      </c>
      <c r="J784" s="3066" t="s">
        <v>3560</v>
      </c>
      <c r="K784" s="3066" t="s">
        <v>3560</v>
      </c>
      <c r="L784" s="3066" t="s">
        <v>5995</v>
      </c>
      <c r="M784" s="3066" t="s">
        <v>5996</v>
      </c>
      <c r="N784" s="3066">
        <v>37.5</v>
      </c>
      <c r="O784" s="3066" t="s">
        <v>3950</v>
      </c>
      <c r="P784" s="3066" t="s">
        <v>3566</v>
      </c>
      <c r="Q784" s="3066">
        <v>1</v>
      </c>
      <c r="R784" s="3066">
        <v>5334</v>
      </c>
      <c r="S784" s="3066" t="s">
        <v>3567</v>
      </c>
      <c r="T784" s="3066">
        <v>21</v>
      </c>
      <c r="U784" s="3066">
        <v>787.5</v>
      </c>
      <c r="V784" s="3066" t="s">
        <v>3560</v>
      </c>
      <c r="W784" s="3066" t="s">
        <v>3568</v>
      </c>
      <c r="X784" s="3066">
        <v>2.27</v>
      </c>
      <c r="Y784" s="3066">
        <v>1020</v>
      </c>
      <c r="Z784" s="3066" t="s">
        <v>3568</v>
      </c>
      <c r="AA784" s="3066" t="s">
        <v>3560</v>
      </c>
      <c r="AB784" s="3066" t="s">
        <v>3951</v>
      </c>
      <c r="AC784" s="3066" t="s">
        <v>3951</v>
      </c>
      <c r="AD784" s="3066" t="s">
        <v>3951</v>
      </c>
      <c r="AE784" s="3066" t="s">
        <v>3560</v>
      </c>
      <c r="AF784" s="3067">
        <v>787.5</v>
      </c>
      <c r="AG784" s="3066">
        <v>787.5</v>
      </c>
      <c r="AH784" s="3066">
        <v>85</v>
      </c>
      <c r="AI784" s="3066">
        <v>85</v>
      </c>
      <c r="AJ784" s="3066">
        <v>162.49</v>
      </c>
      <c r="AK784" s="3066">
        <v>162.49</v>
      </c>
      <c r="AL784" s="3066">
        <v>1034.99</v>
      </c>
      <c r="AM784" s="3066">
        <v>1034.99</v>
      </c>
      <c r="AN784" s="3066" t="s">
        <v>3560</v>
      </c>
      <c r="AP784" s="3068">
        <f t="shared" si="12"/>
        <v>21</v>
      </c>
    </row>
    <row r="785" spans="2:42" ht="27" customHeight="1">
      <c r="B785" s="3066">
        <v>793</v>
      </c>
      <c r="C785" s="3066" t="s">
        <v>3224</v>
      </c>
      <c r="D785" s="3066" t="s">
        <v>3972</v>
      </c>
      <c r="E785" s="3066" t="s">
        <v>5997</v>
      </c>
      <c r="F785" s="3066" t="s">
        <v>3917</v>
      </c>
      <c r="G785" s="3066" t="s">
        <v>1373</v>
      </c>
      <c r="H785" s="3066" t="s">
        <v>3560</v>
      </c>
      <c r="I785" s="3066" t="s">
        <v>5998</v>
      </c>
      <c r="J785" s="3066" t="s">
        <v>3560</v>
      </c>
      <c r="K785" s="3066" t="s">
        <v>3560</v>
      </c>
      <c r="L785" s="3066" t="s">
        <v>5999</v>
      </c>
      <c r="M785" s="3066" t="s">
        <v>6000</v>
      </c>
      <c r="N785" s="3066">
        <v>37.5</v>
      </c>
      <c r="O785" s="3066" t="s">
        <v>3608</v>
      </c>
      <c r="P785" s="3066" t="s">
        <v>3566</v>
      </c>
      <c r="Q785" s="3066">
        <v>1</v>
      </c>
      <c r="R785" s="3066">
        <v>4175</v>
      </c>
      <c r="S785" s="3066" t="s">
        <v>3567</v>
      </c>
      <c r="T785" s="3066">
        <v>20</v>
      </c>
      <c r="U785" s="3066">
        <v>750</v>
      </c>
      <c r="V785" s="3066" t="s">
        <v>3560</v>
      </c>
      <c r="W785" s="3066" t="s">
        <v>3568</v>
      </c>
      <c r="X785" s="3066">
        <v>2.27</v>
      </c>
      <c r="Y785" s="3066">
        <v>1020</v>
      </c>
      <c r="Z785" s="3066" t="s">
        <v>3568</v>
      </c>
      <c r="AA785" s="3066" t="s">
        <v>3560</v>
      </c>
      <c r="AB785" s="3066" t="s">
        <v>3609</v>
      </c>
      <c r="AC785" s="3066" t="s">
        <v>3609</v>
      </c>
      <c r="AD785" s="3066" t="s">
        <v>3609</v>
      </c>
      <c r="AE785" s="3066" t="s">
        <v>3560</v>
      </c>
      <c r="AF785" s="3067">
        <v>750</v>
      </c>
      <c r="AG785" s="3066">
        <v>750</v>
      </c>
      <c r="AH785" s="3066">
        <v>85</v>
      </c>
      <c r="AI785" s="3066">
        <v>85</v>
      </c>
      <c r="AJ785" s="3066">
        <v>71.05</v>
      </c>
      <c r="AK785" s="3066">
        <v>71.05</v>
      </c>
      <c r="AL785" s="3066">
        <v>906.05</v>
      </c>
      <c r="AM785" s="3066">
        <v>906.05</v>
      </c>
      <c r="AN785" s="3066" t="s">
        <v>3560</v>
      </c>
      <c r="AP785" s="3068">
        <f t="shared" si="12"/>
        <v>20</v>
      </c>
    </row>
    <row r="786" spans="2:42" ht="27" customHeight="1">
      <c r="B786" s="3066">
        <v>794</v>
      </c>
      <c r="C786" s="3066" t="s">
        <v>3224</v>
      </c>
      <c r="D786" s="3066" t="s">
        <v>3972</v>
      </c>
      <c r="E786" s="3066" t="s">
        <v>6001</v>
      </c>
      <c r="F786" s="3066" t="s">
        <v>3917</v>
      </c>
      <c r="G786" s="3066" t="s">
        <v>1373</v>
      </c>
      <c r="H786" s="3066" t="s">
        <v>3560</v>
      </c>
      <c r="I786" s="3066" t="s">
        <v>6002</v>
      </c>
      <c r="J786" s="3066" t="s">
        <v>3560</v>
      </c>
      <c r="K786" s="3066" t="s">
        <v>3560</v>
      </c>
      <c r="L786" s="3066" t="s">
        <v>6003</v>
      </c>
      <c r="M786" s="3066" t="s">
        <v>6004</v>
      </c>
      <c r="N786" s="3066">
        <v>37.5</v>
      </c>
      <c r="O786" s="3066" t="s">
        <v>3785</v>
      </c>
      <c r="P786" s="3066" t="s">
        <v>3566</v>
      </c>
      <c r="Q786" s="3066">
        <v>1</v>
      </c>
      <c r="R786" s="3066">
        <v>2280</v>
      </c>
      <c r="S786" s="3066" t="s">
        <v>3567</v>
      </c>
      <c r="T786" s="3066">
        <v>20</v>
      </c>
      <c r="U786" s="3066">
        <v>750</v>
      </c>
      <c r="V786" s="3066" t="s">
        <v>3560</v>
      </c>
      <c r="W786" s="3066" t="s">
        <v>3568</v>
      </c>
      <c r="X786" s="3066">
        <v>2.27</v>
      </c>
      <c r="Y786" s="3066">
        <v>1020</v>
      </c>
      <c r="Z786" s="3066" t="s">
        <v>3568</v>
      </c>
      <c r="AA786" s="3066" t="s">
        <v>3560</v>
      </c>
      <c r="AB786" s="3066" t="s">
        <v>3591</v>
      </c>
      <c r="AC786" s="3066" t="s">
        <v>3591</v>
      </c>
      <c r="AD786" s="3066" t="s">
        <v>3591</v>
      </c>
      <c r="AE786" s="3066" t="s">
        <v>3560</v>
      </c>
      <c r="AF786" s="3067">
        <v>750</v>
      </c>
      <c r="AG786" s="3066">
        <v>750</v>
      </c>
      <c r="AH786" s="3066">
        <v>85</v>
      </c>
      <c r="AI786" s="3066">
        <v>85</v>
      </c>
      <c r="AJ786" s="3066">
        <v>71.05</v>
      </c>
      <c r="AK786" s="3066">
        <v>71.05</v>
      </c>
      <c r="AL786" s="3066">
        <v>906.05</v>
      </c>
      <c r="AM786" s="3066">
        <v>906.05</v>
      </c>
      <c r="AN786" s="3066" t="s">
        <v>3560</v>
      </c>
      <c r="AP786" s="3068">
        <f t="shared" si="12"/>
        <v>20</v>
      </c>
    </row>
    <row r="787" spans="2:42" ht="27" customHeight="1">
      <c r="B787" s="3066">
        <v>795</v>
      </c>
      <c r="C787" s="3066" t="s">
        <v>3224</v>
      </c>
      <c r="D787" s="3066" t="s">
        <v>3972</v>
      </c>
      <c r="E787" s="3066" t="s">
        <v>6005</v>
      </c>
      <c r="F787" s="3066" t="s">
        <v>3917</v>
      </c>
      <c r="G787" s="3066" t="s">
        <v>1373</v>
      </c>
      <c r="H787" s="3066" t="s">
        <v>3560</v>
      </c>
      <c r="I787" s="3066" t="s">
        <v>5994</v>
      </c>
      <c r="J787" s="3066" t="s">
        <v>3560</v>
      </c>
      <c r="K787" s="3066" t="s">
        <v>3560</v>
      </c>
      <c r="L787" s="3066" t="s">
        <v>5995</v>
      </c>
      <c r="M787" s="3066" t="s">
        <v>6006</v>
      </c>
      <c r="N787" s="3066">
        <v>37.5</v>
      </c>
      <c r="O787" s="3066" t="s">
        <v>3950</v>
      </c>
      <c r="P787" s="3066" t="s">
        <v>3566</v>
      </c>
      <c r="Q787" s="3066">
        <v>1</v>
      </c>
      <c r="R787" s="3066">
        <v>0</v>
      </c>
      <c r="S787" s="3066" t="s">
        <v>3577</v>
      </c>
      <c r="T787" s="3066">
        <v>21</v>
      </c>
      <c r="U787" s="3066">
        <v>787.5</v>
      </c>
      <c r="V787" s="3066" t="s">
        <v>3560</v>
      </c>
      <c r="W787" s="3066" t="s">
        <v>3568</v>
      </c>
      <c r="X787" s="3066">
        <v>2.27</v>
      </c>
      <c r="Y787" s="3066">
        <v>1020</v>
      </c>
      <c r="Z787" s="3066" t="s">
        <v>3568</v>
      </c>
      <c r="AA787" s="3066" t="s">
        <v>3560</v>
      </c>
      <c r="AB787" s="3066" t="s">
        <v>3951</v>
      </c>
      <c r="AC787" s="3066" t="s">
        <v>3951</v>
      </c>
      <c r="AD787" s="3066" t="s">
        <v>3951</v>
      </c>
      <c r="AE787" s="3066" t="s">
        <v>3560</v>
      </c>
      <c r="AF787" s="3067">
        <v>787.5</v>
      </c>
      <c r="AG787" s="3066">
        <v>787.5</v>
      </c>
      <c r="AH787" s="3066">
        <v>85</v>
      </c>
      <c r="AI787" s="3066">
        <v>85</v>
      </c>
      <c r="AJ787" s="3066">
        <v>186.2</v>
      </c>
      <c r="AK787" s="3066">
        <v>186.2</v>
      </c>
      <c r="AL787" s="3066">
        <v>1058.7</v>
      </c>
      <c r="AM787" s="3066">
        <v>1058.7</v>
      </c>
      <c r="AN787" s="3066" t="s">
        <v>3560</v>
      </c>
      <c r="AP787" s="3068">
        <f t="shared" si="12"/>
        <v>21</v>
      </c>
    </row>
    <row r="788" spans="2:42" ht="27" customHeight="1">
      <c r="B788" s="3066">
        <v>796</v>
      </c>
      <c r="C788" s="3066" t="s">
        <v>3224</v>
      </c>
      <c r="D788" s="3066" t="s">
        <v>3972</v>
      </c>
      <c r="E788" s="3066" t="s">
        <v>6007</v>
      </c>
      <c r="F788" s="3066" t="s">
        <v>3917</v>
      </c>
      <c r="G788" s="3066" t="s">
        <v>1373</v>
      </c>
      <c r="H788" s="3066" t="s">
        <v>3560</v>
      </c>
      <c r="I788" s="3066" t="s">
        <v>6008</v>
      </c>
      <c r="J788" s="3066" t="s">
        <v>3560</v>
      </c>
      <c r="K788" s="3066" t="s">
        <v>3560</v>
      </c>
      <c r="L788" s="3066" t="s">
        <v>6009</v>
      </c>
      <c r="M788" s="3066" t="s">
        <v>6010</v>
      </c>
      <c r="N788" s="3066">
        <v>37.5</v>
      </c>
      <c r="O788" s="3066" t="s">
        <v>3619</v>
      </c>
      <c r="P788" s="3066" t="s">
        <v>3566</v>
      </c>
      <c r="Q788" s="3066">
        <v>1</v>
      </c>
      <c r="R788" s="3066">
        <v>4175</v>
      </c>
      <c r="S788" s="3066" t="s">
        <v>3567</v>
      </c>
      <c r="T788" s="3066">
        <v>20</v>
      </c>
      <c r="U788" s="3066">
        <v>750</v>
      </c>
      <c r="V788" s="3066" t="s">
        <v>3560</v>
      </c>
      <c r="W788" s="3066" t="s">
        <v>3568</v>
      </c>
      <c r="X788" s="3066">
        <v>2.27</v>
      </c>
      <c r="Y788" s="3066">
        <v>1020</v>
      </c>
      <c r="Z788" s="3066" t="s">
        <v>3568</v>
      </c>
      <c r="AA788" s="3066" t="s">
        <v>3560</v>
      </c>
      <c r="AB788" s="3066" t="s">
        <v>3584</v>
      </c>
      <c r="AC788" s="3066" t="s">
        <v>3584</v>
      </c>
      <c r="AD788" s="3066" t="s">
        <v>3584</v>
      </c>
      <c r="AE788" s="3066" t="s">
        <v>3560</v>
      </c>
      <c r="AF788" s="3067">
        <v>750</v>
      </c>
      <c r="AG788" s="3066">
        <v>750</v>
      </c>
      <c r="AH788" s="3066">
        <v>85</v>
      </c>
      <c r="AI788" s="3066">
        <v>85</v>
      </c>
      <c r="AJ788" s="3066">
        <v>57.88</v>
      </c>
      <c r="AK788" s="3066">
        <v>57.88</v>
      </c>
      <c r="AL788" s="3066">
        <v>892.88</v>
      </c>
      <c r="AM788" s="3066">
        <v>892.88</v>
      </c>
      <c r="AN788" s="3066" t="s">
        <v>3560</v>
      </c>
      <c r="AP788" s="3068">
        <f t="shared" si="12"/>
        <v>20</v>
      </c>
    </row>
    <row r="789" spans="2:42" ht="27" customHeight="1">
      <c r="B789" s="3066">
        <v>797</v>
      </c>
      <c r="C789" s="3066" t="s">
        <v>3224</v>
      </c>
      <c r="D789" s="3066" t="s">
        <v>3972</v>
      </c>
      <c r="E789" s="3066" t="s">
        <v>6011</v>
      </c>
      <c r="F789" s="3066" t="s">
        <v>3917</v>
      </c>
      <c r="G789" s="3066" t="s">
        <v>1373</v>
      </c>
      <c r="H789" s="3066" t="s">
        <v>3560</v>
      </c>
      <c r="I789" s="3066" t="s">
        <v>3870</v>
      </c>
      <c r="J789" s="3066" t="s">
        <v>3871</v>
      </c>
      <c r="K789" s="3066" t="s">
        <v>3560</v>
      </c>
      <c r="L789" s="3066" t="s">
        <v>3872</v>
      </c>
      <c r="M789" s="3066" t="s">
        <v>6012</v>
      </c>
      <c r="N789" s="3066">
        <v>37.5</v>
      </c>
      <c r="O789" s="3066" t="s">
        <v>3583</v>
      </c>
      <c r="P789" s="3066" t="s">
        <v>3566</v>
      </c>
      <c r="Q789" s="3066">
        <v>0</v>
      </c>
      <c r="R789" s="3066">
        <v>0</v>
      </c>
      <c r="S789" s="3066" t="s">
        <v>3577</v>
      </c>
      <c r="T789" s="3066">
        <v>20</v>
      </c>
      <c r="U789" s="3066">
        <v>750</v>
      </c>
      <c r="V789" s="3066" t="s">
        <v>3560</v>
      </c>
      <c r="W789" s="3066" t="s">
        <v>3568</v>
      </c>
      <c r="X789" s="3066">
        <v>2</v>
      </c>
      <c r="Y789" s="3066">
        <v>900</v>
      </c>
      <c r="Z789" s="3066" t="s">
        <v>3568</v>
      </c>
      <c r="AA789" s="3066" t="s">
        <v>3560</v>
      </c>
      <c r="AB789" s="3066" t="s">
        <v>3584</v>
      </c>
      <c r="AC789" s="3066" t="s">
        <v>3584</v>
      </c>
      <c r="AD789" s="3066" t="s">
        <v>3584</v>
      </c>
      <c r="AE789" s="3066" t="s">
        <v>3560</v>
      </c>
      <c r="AF789" s="3067">
        <v>750</v>
      </c>
      <c r="AG789" s="3066">
        <v>750</v>
      </c>
      <c r="AH789" s="3066">
        <v>75</v>
      </c>
      <c r="AI789" s="3066">
        <v>75</v>
      </c>
      <c r="AJ789" s="3066">
        <v>27.35</v>
      </c>
      <c r="AK789" s="3066">
        <v>27.35</v>
      </c>
      <c r="AL789" s="3066">
        <v>852.35</v>
      </c>
      <c r="AM789" s="3066">
        <v>852.35</v>
      </c>
      <c r="AN789" s="3066" t="s">
        <v>3560</v>
      </c>
      <c r="AP789" s="3068">
        <f t="shared" si="12"/>
        <v>20</v>
      </c>
    </row>
    <row r="790" spans="2:42" ht="27" customHeight="1">
      <c r="B790" s="3066">
        <v>798</v>
      </c>
      <c r="C790" s="3066" t="s">
        <v>3224</v>
      </c>
      <c r="D790" s="3066" t="s">
        <v>3972</v>
      </c>
      <c r="E790" s="3066" t="s">
        <v>6013</v>
      </c>
      <c r="F790" s="3066" t="s">
        <v>3917</v>
      </c>
      <c r="G790" s="3066" t="s">
        <v>1373</v>
      </c>
      <c r="H790" s="3066" t="s">
        <v>3560</v>
      </c>
      <c r="I790" s="3066" t="s">
        <v>3598</v>
      </c>
      <c r="J790" s="3066" t="s">
        <v>3599</v>
      </c>
      <c r="K790" s="3066" t="s">
        <v>3560</v>
      </c>
      <c r="L790" s="3066" t="s">
        <v>3600</v>
      </c>
      <c r="M790" s="3066" t="s">
        <v>6014</v>
      </c>
      <c r="N790" s="3066">
        <v>37.5</v>
      </c>
      <c r="O790" s="3066" t="s">
        <v>3942</v>
      </c>
      <c r="P790" s="3066" t="s">
        <v>3566</v>
      </c>
      <c r="Q790" s="3066">
        <v>0</v>
      </c>
      <c r="R790" s="3066">
        <v>0</v>
      </c>
      <c r="S790" s="3066" t="s">
        <v>3577</v>
      </c>
      <c r="T790" s="3066">
        <v>21</v>
      </c>
      <c r="U790" s="3066">
        <v>787.5</v>
      </c>
      <c r="V790" s="3066" t="s">
        <v>3560</v>
      </c>
      <c r="W790" s="3066" t="s">
        <v>3568</v>
      </c>
      <c r="X790" s="3066">
        <v>2</v>
      </c>
      <c r="Y790" s="3066">
        <v>900</v>
      </c>
      <c r="Z790" s="3066" t="s">
        <v>3568</v>
      </c>
      <c r="AA790" s="3066" t="s">
        <v>3560</v>
      </c>
      <c r="AB790" s="3066" t="s">
        <v>3943</v>
      </c>
      <c r="AC790" s="3066" t="s">
        <v>3943</v>
      </c>
      <c r="AD790" s="3066" t="s">
        <v>3943</v>
      </c>
      <c r="AE790" s="3066" t="s">
        <v>3560</v>
      </c>
      <c r="AF790" s="3067">
        <v>0</v>
      </c>
      <c r="AG790" s="3066">
        <v>0</v>
      </c>
      <c r="AH790" s="3066">
        <v>0</v>
      </c>
      <c r="AI790" s="3066">
        <v>0</v>
      </c>
      <c r="AJ790" s="3066">
        <v>0</v>
      </c>
      <c r="AK790" s="3066">
        <v>0</v>
      </c>
      <c r="AL790" s="3066">
        <v>0</v>
      </c>
      <c r="AM790" s="3066">
        <v>0</v>
      </c>
      <c r="AN790" s="3066" t="s">
        <v>3560</v>
      </c>
      <c r="AP790" s="3068">
        <f t="shared" si="12"/>
        <v>0</v>
      </c>
    </row>
    <row r="791" spans="2:42" ht="27" customHeight="1">
      <c r="B791" s="3066">
        <v>799</v>
      </c>
      <c r="C791" s="3066" t="s">
        <v>3224</v>
      </c>
      <c r="D791" s="3066" t="s">
        <v>3972</v>
      </c>
      <c r="E791" s="3066" t="s">
        <v>6015</v>
      </c>
      <c r="F791" s="3066" t="s">
        <v>3917</v>
      </c>
      <c r="G791" s="3066" t="s">
        <v>1373</v>
      </c>
      <c r="H791" s="3066" t="s">
        <v>3560</v>
      </c>
      <c r="I791" s="3066" t="s">
        <v>3706</v>
      </c>
      <c r="J791" s="3066" t="s">
        <v>3707</v>
      </c>
      <c r="K791" s="3066" t="s">
        <v>3560</v>
      </c>
      <c r="L791" s="3066" t="s">
        <v>3708</v>
      </c>
      <c r="M791" s="3066" t="s">
        <v>6016</v>
      </c>
      <c r="N791" s="3066">
        <v>37.5</v>
      </c>
      <c r="O791" s="3066" t="s">
        <v>3744</v>
      </c>
      <c r="P791" s="3066" t="s">
        <v>3566</v>
      </c>
      <c r="Q791" s="3066">
        <v>1</v>
      </c>
      <c r="R791" s="3066">
        <v>0</v>
      </c>
      <c r="S791" s="3066" t="s">
        <v>3577</v>
      </c>
      <c r="T791" s="3066">
        <v>20</v>
      </c>
      <c r="U791" s="3066">
        <v>750</v>
      </c>
      <c r="V791" s="3066" t="s">
        <v>3560</v>
      </c>
      <c r="W791" s="3066" t="s">
        <v>3568</v>
      </c>
      <c r="X791" s="3066">
        <v>2</v>
      </c>
      <c r="Y791" s="3066">
        <v>900</v>
      </c>
      <c r="Z791" s="3066" t="s">
        <v>3568</v>
      </c>
      <c r="AA791" s="3066" t="s">
        <v>3560</v>
      </c>
      <c r="AB791" s="3066" t="s">
        <v>3746</v>
      </c>
      <c r="AC791" s="3066" t="s">
        <v>3746</v>
      </c>
      <c r="AD791" s="3066" t="s">
        <v>3746</v>
      </c>
      <c r="AE791" s="3066" t="s">
        <v>3560</v>
      </c>
      <c r="AF791" s="3067">
        <v>750</v>
      </c>
      <c r="AG791" s="3066">
        <v>0</v>
      </c>
      <c r="AH791" s="3066">
        <v>75</v>
      </c>
      <c r="AI791" s="3066">
        <v>0</v>
      </c>
      <c r="AJ791" s="3066">
        <v>64.16</v>
      </c>
      <c r="AK791" s="3066">
        <v>0</v>
      </c>
      <c r="AL791" s="3066">
        <v>889.16</v>
      </c>
      <c r="AM791" s="3066">
        <v>0</v>
      </c>
      <c r="AN791" s="3066" t="s">
        <v>3560</v>
      </c>
      <c r="AP791" s="3068">
        <f t="shared" si="12"/>
        <v>20</v>
      </c>
    </row>
    <row r="792" spans="2:42" ht="27" customHeight="1">
      <c r="B792" s="3066">
        <v>800</v>
      </c>
      <c r="C792" s="3066" t="s">
        <v>3224</v>
      </c>
      <c r="D792" s="3066" t="s">
        <v>3972</v>
      </c>
      <c r="E792" s="3066" t="s">
        <v>6017</v>
      </c>
      <c r="F792" s="3066" t="s">
        <v>3917</v>
      </c>
      <c r="G792" s="3066" t="s">
        <v>1373</v>
      </c>
      <c r="H792" s="3066" t="s">
        <v>3560</v>
      </c>
      <c r="I792" s="3066" t="s">
        <v>6018</v>
      </c>
      <c r="J792" s="3066" t="s">
        <v>3560</v>
      </c>
      <c r="K792" s="3066" t="s">
        <v>3560</v>
      </c>
      <c r="L792" s="3066" t="s">
        <v>6019</v>
      </c>
      <c r="M792" s="3066" t="s">
        <v>6020</v>
      </c>
      <c r="N792" s="3066">
        <v>37.5</v>
      </c>
      <c r="O792" s="3066" t="s">
        <v>3619</v>
      </c>
      <c r="P792" s="3066" t="s">
        <v>3745</v>
      </c>
      <c r="Q792" s="3066">
        <v>1</v>
      </c>
      <c r="R792" s="3066">
        <v>0</v>
      </c>
      <c r="S792" s="3066" t="s">
        <v>3577</v>
      </c>
      <c r="T792" s="3066">
        <v>21</v>
      </c>
      <c r="U792" s="3066">
        <v>787.5</v>
      </c>
      <c r="V792" s="3066" t="s">
        <v>3560</v>
      </c>
      <c r="W792" s="3066" t="s">
        <v>3568</v>
      </c>
      <c r="X792" s="3066">
        <v>2.27</v>
      </c>
      <c r="Y792" s="3066">
        <v>1020</v>
      </c>
      <c r="Z792" s="3066" t="s">
        <v>3568</v>
      </c>
      <c r="AA792" s="3066" t="s">
        <v>3560</v>
      </c>
      <c r="AB792" s="3066" t="s">
        <v>3584</v>
      </c>
      <c r="AC792" s="3066" t="s">
        <v>3584</v>
      </c>
      <c r="AD792" s="3066" t="s">
        <v>3584</v>
      </c>
      <c r="AE792" s="3066" t="s">
        <v>3560</v>
      </c>
      <c r="AF792" s="3067">
        <v>787.5</v>
      </c>
      <c r="AG792" s="3066">
        <v>787.5</v>
      </c>
      <c r="AH792" s="3066">
        <v>85</v>
      </c>
      <c r="AI792" s="3066">
        <v>85</v>
      </c>
      <c r="AJ792" s="3066">
        <v>166.31</v>
      </c>
      <c r="AK792" s="3066">
        <v>166.31</v>
      </c>
      <c r="AL792" s="3066">
        <v>1038.81</v>
      </c>
      <c r="AM792" s="3066">
        <v>1038.81</v>
      </c>
      <c r="AN792" s="3066" t="s">
        <v>3560</v>
      </c>
      <c r="AP792" s="3068">
        <f t="shared" si="12"/>
        <v>21</v>
      </c>
    </row>
    <row r="793" spans="2:42" ht="27" customHeight="1">
      <c r="B793" s="3066">
        <v>801</v>
      </c>
      <c r="C793" s="3066" t="s">
        <v>3224</v>
      </c>
      <c r="D793" s="3066" t="s">
        <v>3972</v>
      </c>
      <c r="E793" s="3066" t="s">
        <v>6017</v>
      </c>
      <c r="F793" s="3066" t="s">
        <v>3917</v>
      </c>
      <c r="G793" s="3066" t="s">
        <v>1373</v>
      </c>
      <c r="H793" s="3066" t="s">
        <v>3560</v>
      </c>
      <c r="I793" s="3066" t="s">
        <v>3598</v>
      </c>
      <c r="J793" s="3066" t="s">
        <v>3599</v>
      </c>
      <c r="K793" s="3066" t="s">
        <v>3560</v>
      </c>
      <c r="L793" s="3066" t="s">
        <v>3600</v>
      </c>
      <c r="M793" s="3066" t="s">
        <v>6020</v>
      </c>
      <c r="N793" s="3066">
        <v>37.5</v>
      </c>
      <c r="O793" s="3066" t="s">
        <v>3942</v>
      </c>
      <c r="P793" s="3066" t="s">
        <v>3566</v>
      </c>
      <c r="Q793" s="3066">
        <v>0</v>
      </c>
      <c r="R793" s="3066">
        <v>0</v>
      </c>
      <c r="S793" s="3066" t="s">
        <v>3577</v>
      </c>
      <c r="T793" s="3066">
        <v>21</v>
      </c>
      <c r="U793" s="3066">
        <v>787.5</v>
      </c>
      <c r="V793" s="3066" t="s">
        <v>3560</v>
      </c>
      <c r="W793" s="3066" t="s">
        <v>3568</v>
      </c>
      <c r="X793" s="3066">
        <v>2</v>
      </c>
      <c r="Y793" s="3066">
        <v>900</v>
      </c>
      <c r="Z793" s="3066" t="s">
        <v>3568</v>
      </c>
      <c r="AA793" s="3066" t="s">
        <v>3560</v>
      </c>
      <c r="AB793" s="3066" t="s">
        <v>3943</v>
      </c>
      <c r="AC793" s="3066" t="s">
        <v>3943</v>
      </c>
      <c r="AD793" s="3066" t="s">
        <v>3943</v>
      </c>
      <c r="AE793" s="3066" t="s">
        <v>3560</v>
      </c>
      <c r="AF793" s="3067">
        <v>0</v>
      </c>
      <c r="AG793" s="3066">
        <v>0</v>
      </c>
      <c r="AH793" s="3066">
        <v>0</v>
      </c>
      <c r="AI793" s="3066">
        <v>0</v>
      </c>
      <c r="AJ793" s="3066">
        <v>0</v>
      </c>
      <c r="AK793" s="3066">
        <v>0</v>
      </c>
      <c r="AL793" s="3066">
        <v>0</v>
      </c>
      <c r="AM793" s="3066">
        <v>0</v>
      </c>
      <c r="AN793" s="3066" t="s">
        <v>3560</v>
      </c>
      <c r="AP793" s="3068">
        <f t="shared" si="12"/>
        <v>0</v>
      </c>
    </row>
    <row r="794" spans="2:42" ht="27" customHeight="1">
      <c r="B794" s="3066">
        <v>802</v>
      </c>
      <c r="C794" s="3066" t="s">
        <v>3224</v>
      </c>
      <c r="D794" s="3066" t="s">
        <v>3972</v>
      </c>
      <c r="E794" s="3066" t="s">
        <v>6021</v>
      </c>
      <c r="F794" s="3066" t="s">
        <v>3917</v>
      </c>
      <c r="G794" s="3066" t="s">
        <v>1373</v>
      </c>
      <c r="H794" s="3066" t="s">
        <v>3560</v>
      </c>
      <c r="I794" s="3066" t="s">
        <v>6022</v>
      </c>
      <c r="J794" s="3066" t="s">
        <v>3560</v>
      </c>
      <c r="K794" s="3066" t="s">
        <v>3560</v>
      </c>
      <c r="L794" s="3066" t="s">
        <v>6023</v>
      </c>
      <c r="M794" s="3066" t="s">
        <v>6024</v>
      </c>
      <c r="N794" s="3066">
        <v>37.5</v>
      </c>
      <c r="O794" s="3066" t="s">
        <v>3619</v>
      </c>
      <c r="P794" s="3066" t="s">
        <v>3566</v>
      </c>
      <c r="Q794" s="3066">
        <v>1</v>
      </c>
      <c r="R794" s="3066">
        <v>8823</v>
      </c>
      <c r="S794" s="3066" t="s">
        <v>3567</v>
      </c>
      <c r="T794" s="3066">
        <v>21</v>
      </c>
      <c r="U794" s="3066">
        <v>787.5</v>
      </c>
      <c r="V794" s="3066" t="s">
        <v>3560</v>
      </c>
      <c r="W794" s="3066" t="s">
        <v>3568</v>
      </c>
      <c r="X794" s="3066">
        <v>2.27</v>
      </c>
      <c r="Y794" s="3066">
        <v>1020</v>
      </c>
      <c r="Z794" s="3066" t="s">
        <v>3568</v>
      </c>
      <c r="AA794" s="3066" t="s">
        <v>3560</v>
      </c>
      <c r="AB794" s="3066" t="s">
        <v>3584</v>
      </c>
      <c r="AC794" s="3066" t="s">
        <v>3584</v>
      </c>
      <c r="AD794" s="3066" t="s">
        <v>3584</v>
      </c>
      <c r="AE794" s="3066" t="s">
        <v>3560</v>
      </c>
      <c r="AF794" s="3067">
        <v>787.5</v>
      </c>
      <c r="AG794" s="3066">
        <v>0</v>
      </c>
      <c r="AH794" s="3066">
        <v>85</v>
      </c>
      <c r="AI794" s="3066">
        <v>0</v>
      </c>
      <c r="AJ794" s="3066">
        <v>65.430000000000007</v>
      </c>
      <c r="AK794" s="3066">
        <v>0</v>
      </c>
      <c r="AL794" s="3066">
        <v>937.93</v>
      </c>
      <c r="AM794" s="3066">
        <v>0</v>
      </c>
      <c r="AN794" s="3066" t="s">
        <v>3560</v>
      </c>
      <c r="AP794" s="3068">
        <f t="shared" si="12"/>
        <v>21</v>
      </c>
    </row>
    <row r="795" spans="2:42" ht="27" customHeight="1">
      <c r="B795" s="3066">
        <v>803</v>
      </c>
      <c r="C795" s="3066" t="s">
        <v>3224</v>
      </c>
      <c r="D795" s="3066" t="s">
        <v>3972</v>
      </c>
      <c r="E795" s="3066" t="s">
        <v>6025</v>
      </c>
      <c r="F795" s="3066" t="s">
        <v>3917</v>
      </c>
      <c r="G795" s="3066" t="s">
        <v>1373</v>
      </c>
      <c r="H795" s="3066" t="s">
        <v>3560</v>
      </c>
      <c r="I795" s="3066" t="s">
        <v>6022</v>
      </c>
      <c r="J795" s="3066" t="s">
        <v>3560</v>
      </c>
      <c r="K795" s="3066" t="s">
        <v>3560</v>
      </c>
      <c r="L795" s="3066" t="s">
        <v>6023</v>
      </c>
      <c r="M795" s="3066" t="s">
        <v>6026</v>
      </c>
      <c r="N795" s="3066">
        <v>41.8</v>
      </c>
      <c r="O795" s="3066" t="s">
        <v>3619</v>
      </c>
      <c r="P795" s="3066" t="s">
        <v>3566</v>
      </c>
      <c r="Q795" s="3066">
        <v>1</v>
      </c>
      <c r="R795" s="3066">
        <v>0</v>
      </c>
      <c r="S795" s="3066" t="s">
        <v>3577</v>
      </c>
      <c r="T795" s="3066">
        <v>21</v>
      </c>
      <c r="U795" s="3066">
        <v>877.8</v>
      </c>
      <c r="V795" s="3066" t="s">
        <v>3560</v>
      </c>
      <c r="W795" s="3066" t="s">
        <v>3568</v>
      </c>
      <c r="X795" s="3066">
        <v>2.2400000000000002</v>
      </c>
      <c r="Y795" s="3066">
        <v>1123.2</v>
      </c>
      <c r="Z795" s="3066" t="s">
        <v>3568</v>
      </c>
      <c r="AA795" s="3066" t="s">
        <v>3560</v>
      </c>
      <c r="AB795" s="3066" t="s">
        <v>3584</v>
      </c>
      <c r="AC795" s="3066" t="s">
        <v>3584</v>
      </c>
      <c r="AD795" s="3066" t="s">
        <v>3584</v>
      </c>
      <c r="AE795" s="3066" t="s">
        <v>3560</v>
      </c>
      <c r="AF795" s="3067">
        <v>877.8</v>
      </c>
      <c r="AG795" s="3066">
        <v>0</v>
      </c>
      <c r="AH795" s="3066">
        <v>93.6</v>
      </c>
      <c r="AI795" s="3066">
        <v>0</v>
      </c>
      <c r="AJ795" s="3066">
        <v>263.29000000000002</v>
      </c>
      <c r="AK795" s="3066">
        <v>0</v>
      </c>
      <c r="AL795" s="3066">
        <v>1234.69</v>
      </c>
      <c r="AM795" s="3066">
        <v>0</v>
      </c>
      <c r="AN795" s="3066" t="s">
        <v>3560</v>
      </c>
      <c r="AP795" s="3068">
        <f t="shared" si="12"/>
        <v>21</v>
      </c>
    </row>
    <row r="796" spans="2:42" ht="27" customHeight="1">
      <c r="B796" s="3066">
        <v>804</v>
      </c>
      <c r="C796" s="3066" t="s">
        <v>3224</v>
      </c>
      <c r="D796" s="3066" t="s">
        <v>4209</v>
      </c>
      <c r="E796" s="3066" t="s">
        <v>6027</v>
      </c>
      <c r="F796" s="3066" t="s">
        <v>3917</v>
      </c>
      <c r="G796" s="3066" t="s">
        <v>1373</v>
      </c>
      <c r="H796" s="3066" t="s">
        <v>3560</v>
      </c>
      <c r="I796" s="3066" t="s">
        <v>6028</v>
      </c>
      <c r="J796" s="3066" t="s">
        <v>3560</v>
      </c>
      <c r="K796" s="3066" t="s">
        <v>3560</v>
      </c>
      <c r="L796" s="3066" t="s">
        <v>6029</v>
      </c>
      <c r="M796" s="3066" t="s">
        <v>6030</v>
      </c>
      <c r="N796" s="3066">
        <v>37.5</v>
      </c>
      <c r="O796" s="3066" t="s">
        <v>3744</v>
      </c>
      <c r="P796" s="3066" t="s">
        <v>3566</v>
      </c>
      <c r="Q796" s="3066">
        <v>1</v>
      </c>
      <c r="R796" s="3066">
        <v>3340</v>
      </c>
      <c r="S796" s="3066" t="s">
        <v>3567</v>
      </c>
      <c r="T796" s="3066">
        <v>20</v>
      </c>
      <c r="U796" s="3066">
        <v>750</v>
      </c>
      <c r="V796" s="3066" t="s">
        <v>3560</v>
      </c>
      <c r="W796" s="3066" t="s">
        <v>3568</v>
      </c>
      <c r="X796" s="3066">
        <v>2.27</v>
      </c>
      <c r="Y796" s="3066">
        <v>1020</v>
      </c>
      <c r="Z796" s="3066" t="s">
        <v>3568</v>
      </c>
      <c r="AA796" s="3066" t="s">
        <v>3560</v>
      </c>
      <c r="AB796" s="3066" t="s">
        <v>3746</v>
      </c>
      <c r="AC796" s="3066" t="s">
        <v>3746</v>
      </c>
      <c r="AD796" s="3066" t="s">
        <v>3746</v>
      </c>
      <c r="AE796" s="3066" t="s">
        <v>3560</v>
      </c>
      <c r="AF796" s="3067">
        <v>750</v>
      </c>
      <c r="AG796" s="3066">
        <v>750</v>
      </c>
      <c r="AH796" s="3066">
        <v>85</v>
      </c>
      <c r="AI796" s="3066">
        <v>85</v>
      </c>
      <c r="AJ796" s="3066">
        <v>83.11</v>
      </c>
      <c r="AK796" s="3066">
        <v>83.11</v>
      </c>
      <c r="AL796" s="3066">
        <v>918.11</v>
      </c>
      <c r="AM796" s="3066">
        <v>918.11</v>
      </c>
      <c r="AN796" s="3066" t="s">
        <v>3560</v>
      </c>
      <c r="AP796" s="3068">
        <f t="shared" si="12"/>
        <v>20</v>
      </c>
    </row>
    <row r="797" spans="2:42" ht="27" customHeight="1">
      <c r="B797" s="3066">
        <v>805</v>
      </c>
      <c r="C797" s="3066" t="s">
        <v>3224</v>
      </c>
      <c r="D797" s="3066" t="s">
        <v>4209</v>
      </c>
      <c r="E797" s="3066" t="s">
        <v>6031</v>
      </c>
      <c r="F797" s="3066" t="s">
        <v>3917</v>
      </c>
      <c r="G797" s="3066" t="s">
        <v>1373</v>
      </c>
      <c r="H797" s="3066" t="s">
        <v>3560</v>
      </c>
      <c r="I797" s="3066" t="s">
        <v>6032</v>
      </c>
      <c r="J797" s="3066" t="s">
        <v>3560</v>
      </c>
      <c r="K797" s="3066" t="s">
        <v>3560</v>
      </c>
      <c r="L797" s="3066" t="s">
        <v>6033</v>
      </c>
      <c r="M797" s="3066" t="s">
        <v>6034</v>
      </c>
      <c r="N797" s="3066">
        <v>37.5</v>
      </c>
      <c r="O797" s="3066" t="s">
        <v>3619</v>
      </c>
      <c r="P797" s="3066" t="s">
        <v>3566</v>
      </c>
      <c r="Q797" s="3066">
        <v>1</v>
      </c>
      <c r="R797" s="3066">
        <v>4175</v>
      </c>
      <c r="S797" s="3066" t="s">
        <v>3567</v>
      </c>
      <c r="T797" s="3066">
        <v>20</v>
      </c>
      <c r="U797" s="3066">
        <v>750</v>
      </c>
      <c r="V797" s="3066" t="s">
        <v>3560</v>
      </c>
      <c r="W797" s="3066" t="s">
        <v>3568</v>
      </c>
      <c r="X797" s="3066">
        <v>2.27</v>
      </c>
      <c r="Y797" s="3066">
        <v>1020</v>
      </c>
      <c r="Z797" s="3066" t="s">
        <v>3568</v>
      </c>
      <c r="AA797" s="3066" t="s">
        <v>3560</v>
      </c>
      <c r="AB797" s="3066" t="s">
        <v>3584</v>
      </c>
      <c r="AC797" s="3066" t="s">
        <v>3584</v>
      </c>
      <c r="AD797" s="3066" t="s">
        <v>3584</v>
      </c>
      <c r="AE797" s="3066" t="s">
        <v>3560</v>
      </c>
      <c r="AF797" s="3067">
        <v>750</v>
      </c>
      <c r="AG797" s="3066">
        <v>750</v>
      </c>
      <c r="AH797" s="3066">
        <v>85</v>
      </c>
      <c r="AI797" s="3066">
        <v>85</v>
      </c>
      <c r="AJ797" s="3066">
        <v>41.47</v>
      </c>
      <c r="AK797" s="3066">
        <v>41.47</v>
      </c>
      <c r="AL797" s="3066">
        <v>876.47</v>
      </c>
      <c r="AM797" s="3066">
        <v>876.47</v>
      </c>
      <c r="AN797" s="3066" t="s">
        <v>3560</v>
      </c>
      <c r="AP797" s="3068">
        <f t="shared" si="12"/>
        <v>20</v>
      </c>
    </row>
    <row r="798" spans="2:42" ht="27" customHeight="1">
      <c r="B798" s="3066">
        <v>806</v>
      </c>
      <c r="C798" s="3066" t="s">
        <v>3224</v>
      </c>
      <c r="D798" s="3066" t="s">
        <v>4209</v>
      </c>
      <c r="E798" s="3066" t="s">
        <v>6035</v>
      </c>
      <c r="F798" s="3066" t="s">
        <v>3917</v>
      </c>
      <c r="G798" s="3066" t="s">
        <v>1373</v>
      </c>
      <c r="H798" s="3066" t="s">
        <v>3560</v>
      </c>
      <c r="I798" s="3066" t="s">
        <v>6036</v>
      </c>
      <c r="J798" s="3066" t="s">
        <v>6036</v>
      </c>
      <c r="K798" s="3066" t="s">
        <v>3560</v>
      </c>
      <c r="L798" s="3066" t="s">
        <v>6037</v>
      </c>
      <c r="M798" s="3066" t="s">
        <v>6038</v>
      </c>
      <c r="N798" s="3066">
        <v>37.5</v>
      </c>
      <c r="O798" s="3066" t="s">
        <v>3919</v>
      </c>
      <c r="P798" s="3066" t="s">
        <v>3566</v>
      </c>
      <c r="Q798" s="3066">
        <v>1</v>
      </c>
      <c r="R798" s="3066">
        <v>4175</v>
      </c>
      <c r="S798" s="3066" t="s">
        <v>3567</v>
      </c>
      <c r="T798" s="3066">
        <v>20</v>
      </c>
      <c r="U798" s="3066">
        <v>750</v>
      </c>
      <c r="V798" s="3066" t="s">
        <v>3560</v>
      </c>
      <c r="W798" s="3066" t="s">
        <v>3568</v>
      </c>
      <c r="X798" s="3066">
        <v>2.27</v>
      </c>
      <c r="Y798" s="3066">
        <v>1020</v>
      </c>
      <c r="Z798" s="3066" t="s">
        <v>3568</v>
      </c>
      <c r="AA798" s="3066" t="s">
        <v>3560</v>
      </c>
      <c r="AB798" s="3066" t="s">
        <v>3920</v>
      </c>
      <c r="AC798" s="3066" t="s">
        <v>3920</v>
      </c>
      <c r="AD798" s="3066" t="s">
        <v>3920</v>
      </c>
      <c r="AE798" s="3066" t="s">
        <v>3560</v>
      </c>
      <c r="AF798" s="3067">
        <v>750</v>
      </c>
      <c r="AG798" s="3066">
        <v>0</v>
      </c>
      <c r="AH798" s="3066">
        <v>85</v>
      </c>
      <c r="AI798" s="3066">
        <v>0</v>
      </c>
      <c r="AJ798" s="3066">
        <v>88.65</v>
      </c>
      <c r="AK798" s="3066">
        <v>0</v>
      </c>
      <c r="AL798" s="3066">
        <v>923.65</v>
      </c>
      <c r="AM798" s="3066">
        <v>0</v>
      </c>
      <c r="AN798" s="3066" t="s">
        <v>3560</v>
      </c>
      <c r="AP798" s="3068">
        <f t="shared" si="12"/>
        <v>20</v>
      </c>
    </row>
    <row r="799" spans="2:42" ht="27" customHeight="1">
      <c r="B799" s="3066">
        <v>807</v>
      </c>
      <c r="C799" s="3066" t="s">
        <v>3224</v>
      </c>
      <c r="D799" s="3066" t="s">
        <v>4209</v>
      </c>
      <c r="E799" s="3066" t="s">
        <v>6039</v>
      </c>
      <c r="F799" s="3066" t="s">
        <v>3917</v>
      </c>
      <c r="G799" s="3066" t="s">
        <v>3560</v>
      </c>
      <c r="H799" s="3066" t="s">
        <v>3560</v>
      </c>
      <c r="I799" s="3066" t="s">
        <v>6040</v>
      </c>
      <c r="J799" s="3066" t="s">
        <v>6040</v>
      </c>
      <c r="K799" s="3066" t="s">
        <v>3560</v>
      </c>
      <c r="L799" s="3066" t="s">
        <v>6041</v>
      </c>
      <c r="M799" s="3066" t="s">
        <v>6042</v>
      </c>
      <c r="N799" s="3066">
        <v>37.5</v>
      </c>
      <c r="O799" s="3066" t="s">
        <v>6043</v>
      </c>
      <c r="P799" s="3066" t="s">
        <v>3566</v>
      </c>
      <c r="Q799" s="3066">
        <v>1</v>
      </c>
      <c r="R799" s="3066">
        <v>4362</v>
      </c>
      <c r="S799" s="3066" t="s">
        <v>3567</v>
      </c>
      <c r="T799" s="3066">
        <v>21</v>
      </c>
      <c r="U799" s="3066">
        <v>787.5</v>
      </c>
      <c r="V799" s="3066" t="s">
        <v>3560</v>
      </c>
      <c r="W799" s="3066" t="s">
        <v>3568</v>
      </c>
      <c r="X799" s="3066">
        <v>2.27</v>
      </c>
      <c r="Y799" s="3066">
        <v>1020</v>
      </c>
      <c r="Z799" s="3066" t="s">
        <v>3568</v>
      </c>
      <c r="AA799" s="3066" t="s">
        <v>3560</v>
      </c>
      <c r="AB799" s="3066" t="s">
        <v>3993</v>
      </c>
      <c r="AC799" s="3066" t="s">
        <v>3993</v>
      </c>
      <c r="AD799" s="3066" t="s">
        <v>3993</v>
      </c>
      <c r="AE799" s="3066" t="s">
        <v>3560</v>
      </c>
      <c r="AF799" s="3067">
        <v>787.5</v>
      </c>
      <c r="AG799" s="3066">
        <v>0</v>
      </c>
      <c r="AH799" s="3066">
        <v>85</v>
      </c>
      <c r="AI799" s="3066">
        <v>0</v>
      </c>
      <c r="AJ799" s="3066">
        <v>0</v>
      </c>
      <c r="AK799" s="3066">
        <v>0</v>
      </c>
      <c r="AL799" s="3066">
        <v>872.5</v>
      </c>
      <c r="AM799" s="3066">
        <v>0</v>
      </c>
      <c r="AN799" s="3066" t="s">
        <v>3560</v>
      </c>
      <c r="AP799" s="3068">
        <f t="shared" si="12"/>
        <v>21</v>
      </c>
    </row>
    <row r="800" spans="2:42" ht="27" customHeight="1">
      <c r="B800" s="3066">
        <v>808</v>
      </c>
      <c r="C800" s="3066" t="s">
        <v>3224</v>
      </c>
      <c r="D800" s="3066" t="s">
        <v>4209</v>
      </c>
      <c r="E800" s="3066" t="s">
        <v>6044</v>
      </c>
      <c r="F800" s="3066" t="s">
        <v>3917</v>
      </c>
      <c r="G800" s="3066" t="s">
        <v>1373</v>
      </c>
      <c r="H800" s="3066" t="s">
        <v>3560</v>
      </c>
      <c r="I800" s="3066" t="s">
        <v>3694</v>
      </c>
      <c r="J800" s="3066" t="s">
        <v>3695</v>
      </c>
      <c r="K800" s="3066" t="s">
        <v>3560</v>
      </c>
      <c r="L800" s="3066" t="s">
        <v>3696</v>
      </c>
      <c r="M800" s="3066" t="s">
        <v>6045</v>
      </c>
      <c r="N800" s="3066">
        <v>37.5</v>
      </c>
      <c r="O800" s="3066" t="s">
        <v>3931</v>
      </c>
      <c r="P800" s="3066" t="s">
        <v>3566</v>
      </c>
      <c r="Q800" s="3066">
        <v>1</v>
      </c>
      <c r="R800" s="3066">
        <v>7200</v>
      </c>
      <c r="S800" s="3066" t="s">
        <v>3567</v>
      </c>
      <c r="T800" s="3066">
        <v>20</v>
      </c>
      <c r="U800" s="3066">
        <v>750</v>
      </c>
      <c r="V800" s="3066" t="s">
        <v>3560</v>
      </c>
      <c r="W800" s="3066" t="s">
        <v>3568</v>
      </c>
      <c r="X800" s="3066">
        <v>2</v>
      </c>
      <c r="Y800" s="3066">
        <v>900</v>
      </c>
      <c r="Z800" s="3066" t="s">
        <v>3568</v>
      </c>
      <c r="AA800" s="3066" t="s">
        <v>3560</v>
      </c>
      <c r="AB800" s="3066" t="s">
        <v>3932</v>
      </c>
      <c r="AC800" s="3066" t="s">
        <v>3932</v>
      </c>
      <c r="AD800" s="3066" t="s">
        <v>3932</v>
      </c>
      <c r="AE800" s="3066" t="s">
        <v>3560</v>
      </c>
      <c r="AF800" s="3067">
        <v>750</v>
      </c>
      <c r="AG800" s="3066">
        <v>750</v>
      </c>
      <c r="AH800" s="3066">
        <v>75</v>
      </c>
      <c r="AI800" s="3066">
        <v>75</v>
      </c>
      <c r="AJ800" s="3066">
        <v>284.32</v>
      </c>
      <c r="AK800" s="3066">
        <v>284.32</v>
      </c>
      <c r="AL800" s="3066">
        <v>1109.32</v>
      </c>
      <c r="AM800" s="3066">
        <v>1109.32</v>
      </c>
      <c r="AN800" s="3066" t="s">
        <v>3560</v>
      </c>
      <c r="AP800" s="3068">
        <f t="shared" si="12"/>
        <v>20</v>
      </c>
    </row>
    <row r="801" spans="2:42" ht="27" customHeight="1">
      <c r="B801" s="3066">
        <v>809</v>
      </c>
      <c r="C801" s="3066" t="s">
        <v>3224</v>
      </c>
      <c r="D801" s="3066" t="s">
        <v>4209</v>
      </c>
      <c r="E801" s="3066" t="s">
        <v>6046</v>
      </c>
      <c r="F801" s="3066" t="s">
        <v>3917</v>
      </c>
      <c r="G801" s="3066" t="s">
        <v>1373</v>
      </c>
      <c r="H801" s="3066" t="s">
        <v>3560</v>
      </c>
      <c r="I801" s="3066" t="s">
        <v>3732</v>
      </c>
      <c r="J801" s="3066" t="s">
        <v>3695</v>
      </c>
      <c r="K801" s="3066" t="s">
        <v>3560</v>
      </c>
      <c r="L801" s="3066" t="s">
        <v>3696</v>
      </c>
      <c r="M801" s="3066" t="s">
        <v>6047</v>
      </c>
      <c r="N801" s="3066">
        <v>37.5</v>
      </c>
      <c r="O801" s="3066" t="s">
        <v>3744</v>
      </c>
      <c r="P801" s="3066" t="s">
        <v>3566</v>
      </c>
      <c r="Q801" s="3066">
        <v>1</v>
      </c>
      <c r="R801" s="3066">
        <v>2475</v>
      </c>
      <c r="S801" s="3066" t="s">
        <v>3567</v>
      </c>
      <c r="T801" s="3066">
        <v>20</v>
      </c>
      <c r="U801" s="3066">
        <v>750</v>
      </c>
      <c r="V801" s="3066" t="s">
        <v>3560</v>
      </c>
      <c r="W801" s="3066" t="s">
        <v>3568</v>
      </c>
      <c r="X801" s="3066">
        <v>2</v>
      </c>
      <c r="Y801" s="3066">
        <v>900</v>
      </c>
      <c r="Z801" s="3066" t="s">
        <v>3568</v>
      </c>
      <c r="AA801" s="3066" t="s">
        <v>3560</v>
      </c>
      <c r="AB801" s="3066" t="s">
        <v>3746</v>
      </c>
      <c r="AC801" s="3066" t="s">
        <v>3746</v>
      </c>
      <c r="AD801" s="3066" t="s">
        <v>3746</v>
      </c>
      <c r="AE801" s="3066" t="s">
        <v>3560</v>
      </c>
      <c r="AF801" s="3067">
        <v>750</v>
      </c>
      <c r="AG801" s="3066">
        <v>750</v>
      </c>
      <c r="AH801" s="3066">
        <v>75</v>
      </c>
      <c r="AI801" s="3066">
        <v>75</v>
      </c>
      <c r="AJ801" s="3066">
        <v>112.36</v>
      </c>
      <c r="AK801" s="3066">
        <v>112.36</v>
      </c>
      <c r="AL801" s="3066">
        <v>937.36</v>
      </c>
      <c r="AM801" s="3066">
        <v>937.36</v>
      </c>
      <c r="AN801" s="3066" t="s">
        <v>3560</v>
      </c>
      <c r="AP801" s="3068">
        <f t="shared" si="12"/>
        <v>20</v>
      </c>
    </row>
    <row r="802" spans="2:42" ht="27" customHeight="1">
      <c r="B802" s="3066">
        <v>810</v>
      </c>
      <c r="C802" s="3066" t="s">
        <v>3224</v>
      </c>
      <c r="D802" s="3066" t="s">
        <v>4209</v>
      </c>
      <c r="E802" s="3066" t="s">
        <v>6048</v>
      </c>
      <c r="F802" s="3066" t="s">
        <v>3917</v>
      </c>
      <c r="G802" s="3066" t="s">
        <v>1373</v>
      </c>
      <c r="H802" s="3066" t="s">
        <v>3560</v>
      </c>
      <c r="I802" s="3066" t="s">
        <v>6049</v>
      </c>
      <c r="J802" s="3066" t="s">
        <v>3560</v>
      </c>
      <c r="K802" s="3066" t="s">
        <v>3560</v>
      </c>
      <c r="L802" s="3066" t="s">
        <v>6050</v>
      </c>
      <c r="M802" s="3066" t="s">
        <v>6051</v>
      </c>
      <c r="N802" s="3066">
        <v>37.5</v>
      </c>
      <c r="O802" s="3066" t="s">
        <v>3676</v>
      </c>
      <c r="P802" s="3066" t="s">
        <v>3566</v>
      </c>
      <c r="Q802" s="3066">
        <v>1</v>
      </c>
      <c r="R802" s="3066">
        <v>2505</v>
      </c>
      <c r="S802" s="3066" t="s">
        <v>3567</v>
      </c>
      <c r="T802" s="3066">
        <v>20</v>
      </c>
      <c r="U802" s="3066">
        <v>750</v>
      </c>
      <c r="V802" s="3066" t="s">
        <v>3560</v>
      </c>
      <c r="W802" s="3066" t="s">
        <v>3568</v>
      </c>
      <c r="X802" s="3066">
        <v>2.27</v>
      </c>
      <c r="Y802" s="3066">
        <v>1020</v>
      </c>
      <c r="Z802" s="3066" t="s">
        <v>3568</v>
      </c>
      <c r="AA802" s="3066" t="s">
        <v>3560</v>
      </c>
      <c r="AB802" s="3066" t="s">
        <v>3677</v>
      </c>
      <c r="AC802" s="3066" t="s">
        <v>3677</v>
      </c>
      <c r="AD802" s="3066" t="s">
        <v>3677</v>
      </c>
      <c r="AE802" s="3066" t="s">
        <v>3560</v>
      </c>
      <c r="AF802" s="3067">
        <v>750</v>
      </c>
      <c r="AG802" s="3066">
        <v>750</v>
      </c>
      <c r="AH802" s="3066">
        <v>85</v>
      </c>
      <c r="AI802" s="3066">
        <v>85</v>
      </c>
      <c r="AJ802" s="3066">
        <v>115.23</v>
      </c>
      <c r="AK802" s="3066">
        <v>115.23</v>
      </c>
      <c r="AL802" s="3066">
        <v>950.23</v>
      </c>
      <c r="AM802" s="3066">
        <v>950.23</v>
      </c>
      <c r="AN802" s="3066" t="s">
        <v>3560</v>
      </c>
      <c r="AP802" s="3068">
        <f t="shared" si="12"/>
        <v>20</v>
      </c>
    </row>
    <row r="803" spans="2:42" ht="27" customHeight="1">
      <c r="B803" s="3066">
        <v>811</v>
      </c>
      <c r="C803" s="3066" t="s">
        <v>3224</v>
      </c>
      <c r="D803" s="3066" t="s">
        <v>4209</v>
      </c>
      <c r="E803" s="3066" t="s">
        <v>6052</v>
      </c>
      <c r="F803" s="3066" t="s">
        <v>3917</v>
      </c>
      <c r="G803" s="3066" t="s">
        <v>1373</v>
      </c>
      <c r="H803" s="3066" t="s">
        <v>3560</v>
      </c>
      <c r="I803" s="3066" t="s">
        <v>6053</v>
      </c>
      <c r="J803" s="3066" t="s">
        <v>3560</v>
      </c>
      <c r="K803" s="3066" t="s">
        <v>3560</v>
      </c>
      <c r="L803" s="3066" t="s">
        <v>6054</v>
      </c>
      <c r="M803" s="3066" t="s">
        <v>6055</v>
      </c>
      <c r="N803" s="3066">
        <v>37.5</v>
      </c>
      <c r="O803" s="3066" t="s">
        <v>3619</v>
      </c>
      <c r="P803" s="3066" t="s">
        <v>3566</v>
      </c>
      <c r="Q803" s="3066">
        <v>1</v>
      </c>
      <c r="R803" s="3066">
        <v>2280</v>
      </c>
      <c r="S803" s="3066" t="s">
        <v>3567</v>
      </c>
      <c r="T803" s="3066">
        <v>21</v>
      </c>
      <c r="U803" s="3066">
        <v>787.5</v>
      </c>
      <c r="V803" s="3066" t="s">
        <v>3560</v>
      </c>
      <c r="W803" s="3066" t="s">
        <v>3568</v>
      </c>
      <c r="X803" s="3066">
        <v>2.27</v>
      </c>
      <c r="Y803" s="3066">
        <v>1020</v>
      </c>
      <c r="Z803" s="3066" t="s">
        <v>3568</v>
      </c>
      <c r="AA803" s="3066" t="s">
        <v>3560</v>
      </c>
      <c r="AB803" s="3066" t="s">
        <v>3584</v>
      </c>
      <c r="AC803" s="3066" t="s">
        <v>3584</v>
      </c>
      <c r="AD803" s="3066" t="s">
        <v>3584</v>
      </c>
      <c r="AE803" s="3066" t="s">
        <v>3560</v>
      </c>
      <c r="AF803" s="3067">
        <v>0</v>
      </c>
      <c r="AG803" s="3066">
        <v>0</v>
      </c>
      <c r="AH803" s="3066">
        <v>0</v>
      </c>
      <c r="AI803" s="3066">
        <v>0</v>
      </c>
      <c r="AJ803" s="3066">
        <v>92.55</v>
      </c>
      <c r="AK803" s="3066">
        <v>0</v>
      </c>
      <c r="AL803" s="3066">
        <v>92.55</v>
      </c>
      <c r="AM803" s="3066">
        <v>0</v>
      </c>
      <c r="AN803" s="3066" t="s">
        <v>3560</v>
      </c>
      <c r="AP803" s="3068">
        <f t="shared" si="12"/>
        <v>0</v>
      </c>
    </row>
    <row r="804" spans="2:42" ht="27" customHeight="1">
      <c r="B804" s="3066">
        <v>812</v>
      </c>
      <c r="C804" s="3066" t="s">
        <v>3224</v>
      </c>
      <c r="D804" s="3066" t="s">
        <v>4209</v>
      </c>
      <c r="E804" s="3066" t="s">
        <v>6056</v>
      </c>
      <c r="F804" s="3066" t="s">
        <v>3917</v>
      </c>
      <c r="G804" s="3066" t="s">
        <v>1373</v>
      </c>
      <c r="H804" s="3066" t="s">
        <v>3560</v>
      </c>
      <c r="I804" s="3066" t="s">
        <v>6057</v>
      </c>
      <c r="J804" s="3066" t="s">
        <v>3560</v>
      </c>
      <c r="K804" s="3066" t="s">
        <v>3560</v>
      </c>
      <c r="L804" s="3066" t="s">
        <v>6058</v>
      </c>
      <c r="M804" s="3066" t="s">
        <v>6059</v>
      </c>
      <c r="N804" s="3066">
        <v>37.5</v>
      </c>
      <c r="O804" s="3066" t="s">
        <v>3619</v>
      </c>
      <c r="P804" s="3066" t="s">
        <v>3566</v>
      </c>
      <c r="Q804" s="3066">
        <v>1</v>
      </c>
      <c r="R804" s="3066">
        <v>4175</v>
      </c>
      <c r="S804" s="3066" t="s">
        <v>3567</v>
      </c>
      <c r="T804" s="3066">
        <v>20</v>
      </c>
      <c r="U804" s="3066">
        <v>750</v>
      </c>
      <c r="V804" s="3066" t="s">
        <v>3560</v>
      </c>
      <c r="W804" s="3066" t="s">
        <v>3568</v>
      </c>
      <c r="X804" s="3066">
        <v>2.27</v>
      </c>
      <c r="Y804" s="3066">
        <v>1020</v>
      </c>
      <c r="Z804" s="3066" t="s">
        <v>3568</v>
      </c>
      <c r="AA804" s="3066" t="s">
        <v>3560</v>
      </c>
      <c r="AB804" s="3066" t="s">
        <v>3584</v>
      </c>
      <c r="AC804" s="3066" t="s">
        <v>3584</v>
      </c>
      <c r="AD804" s="3066" t="s">
        <v>3584</v>
      </c>
      <c r="AE804" s="3066" t="s">
        <v>3560</v>
      </c>
      <c r="AF804" s="3067">
        <v>0</v>
      </c>
      <c r="AG804" s="3066">
        <v>0</v>
      </c>
      <c r="AH804" s="3066">
        <v>0</v>
      </c>
      <c r="AI804" s="3066">
        <v>0</v>
      </c>
      <c r="AJ804" s="3066">
        <v>185.46</v>
      </c>
      <c r="AK804" s="3066">
        <v>0</v>
      </c>
      <c r="AL804" s="3066">
        <v>185.46</v>
      </c>
      <c r="AM804" s="3066">
        <v>0</v>
      </c>
      <c r="AN804" s="3066" t="s">
        <v>3560</v>
      </c>
      <c r="AP804" s="3068">
        <f t="shared" si="12"/>
        <v>0</v>
      </c>
    </row>
    <row r="805" spans="2:42" ht="27" customHeight="1">
      <c r="B805" s="3066">
        <v>813</v>
      </c>
      <c r="C805" s="3066" t="s">
        <v>3224</v>
      </c>
      <c r="D805" s="3066" t="s">
        <v>4209</v>
      </c>
      <c r="E805" s="3066" t="s">
        <v>6060</v>
      </c>
      <c r="F805" s="3066" t="s">
        <v>3917</v>
      </c>
      <c r="G805" s="3066" t="s">
        <v>1373</v>
      </c>
      <c r="H805" s="3066" t="s">
        <v>3560</v>
      </c>
      <c r="I805" s="3066" t="s">
        <v>3922</v>
      </c>
      <c r="J805" s="3066" t="s">
        <v>3923</v>
      </c>
      <c r="K805" s="3066" t="s">
        <v>3560</v>
      </c>
      <c r="L805" s="3066" t="s">
        <v>3924</v>
      </c>
      <c r="M805" s="3066" t="s">
        <v>6061</v>
      </c>
      <c r="N805" s="3066">
        <v>37.5</v>
      </c>
      <c r="O805" s="3066" t="s">
        <v>3619</v>
      </c>
      <c r="P805" s="3066" t="s">
        <v>3566</v>
      </c>
      <c r="Q805" s="3066">
        <v>1</v>
      </c>
      <c r="R805" s="3066">
        <v>2475</v>
      </c>
      <c r="S805" s="3066" t="s">
        <v>3567</v>
      </c>
      <c r="T805" s="3066">
        <v>20</v>
      </c>
      <c r="U805" s="3066">
        <v>750</v>
      </c>
      <c r="V805" s="3066" t="s">
        <v>3560</v>
      </c>
      <c r="W805" s="3066" t="s">
        <v>3568</v>
      </c>
      <c r="X805" s="3066">
        <v>2</v>
      </c>
      <c r="Y805" s="3066">
        <v>900</v>
      </c>
      <c r="Z805" s="3066" t="s">
        <v>3568</v>
      </c>
      <c r="AA805" s="3066" t="s">
        <v>3560</v>
      </c>
      <c r="AB805" s="3066" t="s">
        <v>3584</v>
      </c>
      <c r="AC805" s="3066" t="s">
        <v>3584</v>
      </c>
      <c r="AD805" s="3066" t="s">
        <v>3584</v>
      </c>
      <c r="AE805" s="3066" t="s">
        <v>3560</v>
      </c>
      <c r="AF805" s="3067">
        <v>750</v>
      </c>
      <c r="AG805" s="3066">
        <v>0</v>
      </c>
      <c r="AH805" s="3066">
        <v>75</v>
      </c>
      <c r="AI805" s="3066">
        <v>0</v>
      </c>
      <c r="AJ805" s="3066">
        <v>40.06</v>
      </c>
      <c r="AK805" s="3066">
        <v>0</v>
      </c>
      <c r="AL805" s="3066">
        <v>865.06</v>
      </c>
      <c r="AM805" s="3066">
        <v>0</v>
      </c>
      <c r="AN805" s="3066" t="s">
        <v>3560</v>
      </c>
      <c r="AP805" s="3068">
        <f t="shared" si="12"/>
        <v>20</v>
      </c>
    </row>
    <row r="806" spans="2:42" ht="27" customHeight="1">
      <c r="B806" s="3066">
        <v>814</v>
      </c>
      <c r="C806" s="3066" t="s">
        <v>3224</v>
      </c>
      <c r="D806" s="3066" t="s">
        <v>4209</v>
      </c>
      <c r="E806" s="3066" t="s">
        <v>6062</v>
      </c>
      <c r="F806" s="3066" t="s">
        <v>3917</v>
      </c>
      <c r="G806" s="3066" t="s">
        <v>1373</v>
      </c>
      <c r="H806" s="3066" t="s">
        <v>3560</v>
      </c>
      <c r="I806" s="3066" t="s">
        <v>6063</v>
      </c>
      <c r="J806" s="3066" t="s">
        <v>3560</v>
      </c>
      <c r="K806" s="3066" t="s">
        <v>3560</v>
      </c>
      <c r="L806" s="3066" t="s">
        <v>6064</v>
      </c>
      <c r="M806" s="3066" t="s">
        <v>6065</v>
      </c>
      <c r="N806" s="3066">
        <v>37.5</v>
      </c>
      <c r="O806" s="3066" t="s">
        <v>5230</v>
      </c>
      <c r="P806" s="3066" t="s">
        <v>4096</v>
      </c>
      <c r="Q806" s="3066">
        <v>1</v>
      </c>
      <c r="R806" s="3066">
        <v>4363</v>
      </c>
      <c r="S806" s="3066" t="s">
        <v>3567</v>
      </c>
      <c r="T806" s="3066">
        <v>21</v>
      </c>
      <c r="U806" s="3066">
        <v>787.5</v>
      </c>
      <c r="V806" s="3066" t="s">
        <v>3560</v>
      </c>
      <c r="W806" s="3066" t="s">
        <v>3568</v>
      </c>
      <c r="X806" s="3066">
        <v>2.27</v>
      </c>
      <c r="Y806" s="3066">
        <v>1020</v>
      </c>
      <c r="Z806" s="3066" t="s">
        <v>3568</v>
      </c>
      <c r="AA806" s="3066" t="s">
        <v>3560</v>
      </c>
      <c r="AB806" s="3066" t="s">
        <v>4868</v>
      </c>
      <c r="AC806" s="3066" t="s">
        <v>4868</v>
      </c>
      <c r="AD806" s="3066" t="s">
        <v>4868</v>
      </c>
      <c r="AE806" s="3066" t="s">
        <v>3560</v>
      </c>
      <c r="AF806" s="3067">
        <v>0</v>
      </c>
      <c r="AG806" s="3066">
        <v>0</v>
      </c>
      <c r="AH806" s="3066">
        <v>0</v>
      </c>
      <c r="AI806" s="3066">
        <v>0</v>
      </c>
      <c r="AJ806" s="3066">
        <v>87.63</v>
      </c>
      <c r="AK806" s="3066">
        <v>0</v>
      </c>
      <c r="AL806" s="3066">
        <v>87.63</v>
      </c>
      <c r="AM806" s="3066">
        <v>0</v>
      </c>
      <c r="AN806" s="3066" t="s">
        <v>3560</v>
      </c>
      <c r="AP806" s="3068">
        <f t="shared" si="12"/>
        <v>0</v>
      </c>
    </row>
    <row r="807" spans="2:42" ht="27" customHeight="1">
      <c r="B807" s="3066">
        <v>815</v>
      </c>
      <c r="C807" s="3066" t="s">
        <v>3224</v>
      </c>
      <c r="D807" s="3066" t="s">
        <v>4209</v>
      </c>
      <c r="E807" s="3066" t="s">
        <v>6066</v>
      </c>
      <c r="F807" s="3066" t="s">
        <v>3917</v>
      </c>
      <c r="G807" s="3066" t="s">
        <v>1373</v>
      </c>
      <c r="H807" s="3066" t="s">
        <v>3560</v>
      </c>
      <c r="I807" s="3066" t="s">
        <v>3694</v>
      </c>
      <c r="J807" s="3066" t="s">
        <v>3695</v>
      </c>
      <c r="K807" s="3066" t="s">
        <v>3560</v>
      </c>
      <c r="L807" s="3066" t="s">
        <v>3696</v>
      </c>
      <c r="M807" s="3066" t="s">
        <v>6067</v>
      </c>
      <c r="N807" s="3066">
        <v>37.5</v>
      </c>
      <c r="O807" s="3066" t="s">
        <v>3931</v>
      </c>
      <c r="P807" s="3066" t="s">
        <v>3566</v>
      </c>
      <c r="Q807" s="3066">
        <v>1</v>
      </c>
      <c r="R807" s="3066">
        <v>0</v>
      </c>
      <c r="S807" s="3066" t="s">
        <v>3577</v>
      </c>
      <c r="T807" s="3066">
        <v>20</v>
      </c>
      <c r="U807" s="3066">
        <v>750</v>
      </c>
      <c r="V807" s="3066" t="s">
        <v>3560</v>
      </c>
      <c r="W807" s="3066" t="s">
        <v>3568</v>
      </c>
      <c r="X807" s="3066">
        <v>2</v>
      </c>
      <c r="Y807" s="3066">
        <v>900</v>
      </c>
      <c r="Z807" s="3066" t="s">
        <v>3568</v>
      </c>
      <c r="AA807" s="3066" t="s">
        <v>3560</v>
      </c>
      <c r="AB807" s="3066" t="s">
        <v>3932</v>
      </c>
      <c r="AC807" s="3066" t="s">
        <v>3932</v>
      </c>
      <c r="AD807" s="3066" t="s">
        <v>3932</v>
      </c>
      <c r="AE807" s="3066" t="s">
        <v>3560</v>
      </c>
      <c r="AF807" s="3067">
        <v>750</v>
      </c>
      <c r="AG807" s="3066">
        <v>750</v>
      </c>
      <c r="AH807" s="3066">
        <v>75</v>
      </c>
      <c r="AI807" s="3066">
        <v>75</v>
      </c>
      <c r="AJ807" s="3066">
        <v>245.4</v>
      </c>
      <c r="AK807" s="3066">
        <v>245.4</v>
      </c>
      <c r="AL807" s="3066">
        <v>1070.4000000000001</v>
      </c>
      <c r="AM807" s="3066">
        <v>1070.4000000000001</v>
      </c>
      <c r="AN807" s="3066" t="s">
        <v>3560</v>
      </c>
      <c r="AP807" s="3068">
        <f t="shared" si="12"/>
        <v>20</v>
      </c>
    </row>
    <row r="808" spans="2:42" ht="27" customHeight="1">
      <c r="B808" s="3066">
        <v>816</v>
      </c>
      <c r="C808" s="3066" t="s">
        <v>3224</v>
      </c>
      <c r="D808" s="3066" t="s">
        <v>4209</v>
      </c>
      <c r="E808" s="3066" t="s">
        <v>6068</v>
      </c>
      <c r="F808" s="3066" t="s">
        <v>3917</v>
      </c>
      <c r="G808" s="3066" t="s">
        <v>1373</v>
      </c>
      <c r="H808" s="3066" t="s">
        <v>3560</v>
      </c>
      <c r="I808" s="3066" t="s">
        <v>6069</v>
      </c>
      <c r="J808" s="3066" t="s">
        <v>3560</v>
      </c>
      <c r="K808" s="3066" t="s">
        <v>3560</v>
      </c>
      <c r="L808" s="3066" t="s">
        <v>6070</v>
      </c>
      <c r="M808" s="3066" t="s">
        <v>6071</v>
      </c>
      <c r="N808" s="3066">
        <v>41.8</v>
      </c>
      <c r="O808" s="3066" t="s">
        <v>3931</v>
      </c>
      <c r="P808" s="3066" t="s">
        <v>3566</v>
      </c>
      <c r="Q808" s="3066">
        <v>1</v>
      </c>
      <c r="R808" s="3066">
        <v>4648</v>
      </c>
      <c r="S808" s="3066" t="s">
        <v>3567</v>
      </c>
      <c r="T808" s="3066">
        <v>20</v>
      </c>
      <c r="U808" s="3066">
        <v>836</v>
      </c>
      <c r="V808" s="3066" t="s">
        <v>3560</v>
      </c>
      <c r="W808" s="3066" t="s">
        <v>3568</v>
      </c>
      <c r="X808" s="3066">
        <v>2.2400000000000002</v>
      </c>
      <c r="Y808" s="3066">
        <v>1123.2</v>
      </c>
      <c r="Z808" s="3066" t="s">
        <v>3568</v>
      </c>
      <c r="AA808" s="3066" t="s">
        <v>3560</v>
      </c>
      <c r="AB808" s="3066" t="s">
        <v>3932</v>
      </c>
      <c r="AC808" s="3066" t="s">
        <v>3932</v>
      </c>
      <c r="AD808" s="3066" t="s">
        <v>3932</v>
      </c>
      <c r="AE808" s="3066" t="s">
        <v>3560</v>
      </c>
      <c r="AF808" s="3067">
        <v>0</v>
      </c>
      <c r="AG808" s="3066">
        <v>0</v>
      </c>
      <c r="AH808" s="3066">
        <v>0</v>
      </c>
      <c r="AI808" s="3066">
        <v>0</v>
      </c>
      <c r="AJ808" s="3066">
        <v>299.39</v>
      </c>
      <c r="AK808" s="3066">
        <v>0</v>
      </c>
      <c r="AL808" s="3066">
        <v>299.39</v>
      </c>
      <c r="AM808" s="3066">
        <v>0</v>
      </c>
      <c r="AN808" s="3066" t="s">
        <v>3560</v>
      </c>
      <c r="AP808" s="3068">
        <f t="shared" si="12"/>
        <v>0</v>
      </c>
    </row>
    <row r="809" spans="2:42" ht="27" customHeight="1">
      <c r="B809" s="3066">
        <v>817</v>
      </c>
      <c r="C809" s="3066" t="s">
        <v>3224</v>
      </c>
      <c r="D809" s="3066" t="s">
        <v>3901</v>
      </c>
      <c r="E809" s="3066" t="s">
        <v>6072</v>
      </c>
      <c r="F809" s="3066" t="s">
        <v>3917</v>
      </c>
      <c r="G809" s="3066" t="s">
        <v>1373</v>
      </c>
      <c r="H809" s="3066" t="s">
        <v>3560</v>
      </c>
      <c r="I809" s="3066" t="s">
        <v>3722</v>
      </c>
      <c r="J809" s="3066" t="s">
        <v>3723</v>
      </c>
      <c r="K809" s="3066" t="s">
        <v>3560</v>
      </c>
      <c r="L809" s="3066" t="s">
        <v>3724</v>
      </c>
      <c r="M809" s="3066" t="s">
        <v>6073</v>
      </c>
      <c r="N809" s="3066">
        <v>37.5</v>
      </c>
      <c r="O809" s="3066" t="s">
        <v>4008</v>
      </c>
      <c r="P809" s="3066" t="s">
        <v>3566</v>
      </c>
      <c r="Q809" s="3066">
        <v>1</v>
      </c>
      <c r="R809" s="3066">
        <v>2475</v>
      </c>
      <c r="S809" s="3066" t="s">
        <v>3567</v>
      </c>
      <c r="T809" s="3066">
        <v>20</v>
      </c>
      <c r="U809" s="3066">
        <v>750</v>
      </c>
      <c r="V809" s="3066" t="s">
        <v>3560</v>
      </c>
      <c r="W809" s="3066" t="s">
        <v>3568</v>
      </c>
      <c r="X809" s="3066">
        <v>2</v>
      </c>
      <c r="Y809" s="3066">
        <v>900</v>
      </c>
      <c r="Z809" s="3066" t="s">
        <v>3568</v>
      </c>
      <c r="AA809" s="3066" t="s">
        <v>3560</v>
      </c>
      <c r="AB809" s="3066" t="s">
        <v>3692</v>
      </c>
      <c r="AC809" s="3066" t="s">
        <v>3692</v>
      </c>
      <c r="AD809" s="3066" t="s">
        <v>3692</v>
      </c>
      <c r="AE809" s="3066" t="s">
        <v>3560</v>
      </c>
      <c r="AF809" s="3067">
        <v>750</v>
      </c>
      <c r="AG809" s="3066">
        <v>750</v>
      </c>
      <c r="AH809" s="3066">
        <v>75</v>
      </c>
      <c r="AI809" s="3066">
        <v>75</v>
      </c>
      <c r="AJ809" s="3066">
        <v>33.22</v>
      </c>
      <c r="AK809" s="3066">
        <v>33.22</v>
      </c>
      <c r="AL809" s="3066">
        <v>858.22</v>
      </c>
      <c r="AM809" s="3066">
        <v>858.22</v>
      </c>
      <c r="AN809" s="3066" t="s">
        <v>3560</v>
      </c>
      <c r="AP809" s="3068">
        <f t="shared" si="12"/>
        <v>20</v>
      </c>
    </row>
    <row r="810" spans="2:42" ht="27" customHeight="1">
      <c r="B810" s="3066">
        <v>818</v>
      </c>
      <c r="C810" s="3066" t="s">
        <v>3224</v>
      </c>
      <c r="D810" s="3066" t="s">
        <v>3901</v>
      </c>
      <c r="E810" s="3066" t="s">
        <v>6074</v>
      </c>
      <c r="F810" s="3066" t="s">
        <v>3917</v>
      </c>
      <c r="G810" s="3066" t="s">
        <v>3560</v>
      </c>
      <c r="H810" s="3066" t="s">
        <v>3560</v>
      </c>
      <c r="I810" s="3066" t="s">
        <v>6075</v>
      </c>
      <c r="J810" s="3066" t="s">
        <v>3560</v>
      </c>
      <c r="K810" s="3066" t="s">
        <v>3560</v>
      </c>
      <c r="L810" s="3066" t="s">
        <v>6076</v>
      </c>
      <c r="M810" s="3066" t="s">
        <v>6077</v>
      </c>
      <c r="N810" s="3066">
        <v>37.5</v>
      </c>
      <c r="O810" s="3066" t="s">
        <v>3619</v>
      </c>
      <c r="P810" s="3066" t="s">
        <v>3566</v>
      </c>
      <c r="Q810" s="3066">
        <v>1</v>
      </c>
      <c r="R810" s="3066">
        <v>4363</v>
      </c>
      <c r="S810" s="3066" t="s">
        <v>3567</v>
      </c>
      <c r="T810" s="3066">
        <v>21</v>
      </c>
      <c r="U810" s="3066">
        <v>787.5</v>
      </c>
      <c r="V810" s="3066" t="s">
        <v>3560</v>
      </c>
      <c r="W810" s="3066" t="s">
        <v>3568</v>
      </c>
      <c r="X810" s="3066">
        <v>2.27</v>
      </c>
      <c r="Y810" s="3066">
        <v>1020</v>
      </c>
      <c r="Z810" s="3066" t="s">
        <v>3568</v>
      </c>
      <c r="AA810" s="3066" t="s">
        <v>3560</v>
      </c>
      <c r="AB810" s="3066" t="s">
        <v>3584</v>
      </c>
      <c r="AC810" s="3066" t="s">
        <v>3584</v>
      </c>
      <c r="AD810" s="3066" t="s">
        <v>3584</v>
      </c>
      <c r="AE810" s="3066" t="s">
        <v>3560</v>
      </c>
      <c r="AF810" s="3067">
        <v>787.5</v>
      </c>
      <c r="AG810" s="3066">
        <v>787.5</v>
      </c>
      <c r="AH810" s="3066">
        <v>85</v>
      </c>
      <c r="AI810" s="3066">
        <v>85</v>
      </c>
      <c r="AJ810" s="3066">
        <v>85.49</v>
      </c>
      <c r="AK810" s="3066">
        <v>85.49</v>
      </c>
      <c r="AL810" s="3066">
        <v>957.99</v>
      </c>
      <c r="AM810" s="3066">
        <v>957.99</v>
      </c>
      <c r="AN810" s="3066" t="s">
        <v>3560</v>
      </c>
      <c r="AP810" s="3068">
        <f t="shared" si="12"/>
        <v>21</v>
      </c>
    </row>
    <row r="811" spans="2:42" ht="27" customHeight="1">
      <c r="B811" s="3066">
        <v>819</v>
      </c>
      <c r="C811" s="3066" t="s">
        <v>3224</v>
      </c>
      <c r="D811" s="3066" t="s">
        <v>3901</v>
      </c>
      <c r="E811" s="3066" t="s">
        <v>6078</v>
      </c>
      <c r="F811" s="3066" t="s">
        <v>3917</v>
      </c>
      <c r="G811" s="3066" t="s">
        <v>1373</v>
      </c>
      <c r="H811" s="3066" t="s">
        <v>3560</v>
      </c>
      <c r="I811" s="3066" t="s">
        <v>6079</v>
      </c>
      <c r="J811" s="3066" t="s">
        <v>6079</v>
      </c>
      <c r="K811" s="3066" t="s">
        <v>3560</v>
      </c>
      <c r="L811" s="3066" t="s">
        <v>6080</v>
      </c>
      <c r="M811" s="3066" t="s">
        <v>6081</v>
      </c>
      <c r="N811" s="3066">
        <v>37.5</v>
      </c>
      <c r="O811" s="3066" t="s">
        <v>5211</v>
      </c>
      <c r="P811" s="3066" t="s">
        <v>3566</v>
      </c>
      <c r="Q811" s="3066">
        <v>1</v>
      </c>
      <c r="R811" s="3066">
        <v>4362.5</v>
      </c>
      <c r="S811" s="3066" t="s">
        <v>3567</v>
      </c>
      <c r="T811" s="3066">
        <v>21</v>
      </c>
      <c r="U811" s="3066">
        <v>787.5</v>
      </c>
      <c r="V811" s="3066" t="s">
        <v>3560</v>
      </c>
      <c r="W811" s="3066" t="s">
        <v>3568</v>
      </c>
      <c r="X811" s="3066">
        <v>2.27</v>
      </c>
      <c r="Y811" s="3066">
        <v>1020</v>
      </c>
      <c r="Z811" s="3066" t="s">
        <v>3568</v>
      </c>
      <c r="AA811" s="3066" t="s">
        <v>3560</v>
      </c>
      <c r="AB811" s="3066" t="s">
        <v>3943</v>
      </c>
      <c r="AC811" s="3066" t="s">
        <v>3943</v>
      </c>
      <c r="AD811" s="3066" t="s">
        <v>3943</v>
      </c>
      <c r="AE811" s="3066" t="s">
        <v>3560</v>
      </c>
      <c r="AF811" s="3067">
        <v>750</v>
      </c>
      <c r="AG811" s="3066">
        <v>750</v>
      </c>
      <c r="AH811" s="3066">
        <v>85</v>
      </c>
      <c r="AI811" s="3066">
        <v>85</v>
      </c>
      <c r="AJ811" s="3066">
        <v>65.099999999999994</v>
      </c>
      <c r="AK811" s="3066">
        <v>65.099999999999994</v>
      </c>
      <c r="AL811" s="3066">
        <v>900.1</v>
      </c>
      <c r="AM811" s="3066">
        <v>900.1</v>
      </c>
      <c r="AN811" s="3066" t="s">
        <v>3560</v>
      </c>
      <c r="AP811" s="3068">
        <f t="shared" si="12"/>
        <v>20</v>
      </c>
    </row>
    <row r="812" spans="2:42" ht="27" customHeight="1">
      <c r="B812" s="3066">
        <v>820</v>
      </c>
      <c r="C812" s="3066" t="s">
        <v>3224</v>
      </c>
      <c r="D812" s="3066" t="s">
        <v>3901</v>
      </c>
      <c r="E812" s="3066" t="s">
        <v>6082</v>
      </c>
      <c r="F812" s="3066" t="s">
        <v>3917</v>
      </c>
      <c r="G812" s="3066" t="s">
        <v>1373</v>
      </c>
      <c r="H812" s="3066" t="s">
        <v>3560</v>
      </c>
      <c r="I812" s="3066" t="s">
        <v>6083</v>
      </c>
      <c r="J812" s="3066" t="s">
        <v>3560</v>
      </c>
      <c r="K812" s="3066" t="s">
        <v>3560</v>
      </c>
      <c r="L812" s="3066" t="s">
        <v>6084</v>
      </c>
      <c r="M812" s="3066" t="s">
        <v>6085</v>
      </c>
      <c r="N812" s="3066">
        <v>37.5</v>
      </c>
      <c r="O812" s="3066" t="s">
        <v>3619</v>
      </c>
      <c r="P812" s="3066" t="s">
        <v>3566</v>
      </c>
      <c r="Q812" s="3066">
        <v>1</v>
      </c>
      <c r="R812" s="3066">
        <v>2505</v>
      </c>
      <c r="S812" s="3066" t="s">
        <v>3567</v>
      </c>
      <c r="T812" s="3066">
        <v>21</v>
      </c>
      <c r="U812" s="3066">
        <v>787.5</v>
      </c>
      <c r="V812" s="3066" t="s">
        <v>3560</v>
      </c>
      <c r="W812" s="3066" t="s">
        <v>3568</v>
      </c>
      <c r="X812" s="3066">
        <v>2.27</v>
      </c>
      <c r="Y812" s="3066">
        <v>1020</v>
      </c>
      <c r="Z812" s="3066" t="s">
        <v>3568</v>
      </c>
      <c r="AA812" s="3066" t="s">
        <v>3560</v>
      </c>
      <c r="AB812" s="3066" t="s">
        <v>3584</v>
      </c>
      <c r="AC812" s="3066" t="s">
        <v>3584</v>
      </c>
      <c r="AD812" s="3066" t="s">
        <v>3584</v>
      </c>
      <c r="AE812" s="3066" t="s">
        <v>3560</v>
      </c>
      <c r="AF812" s="3067">
        <v>787.5</v>
      </c>
      <c r="AG812" s="3066">
        <v>787.5</v>
      </c>
      <c r="AH812" s="3066">
        <v>85</v>
      </c>
      <c r="AI812" s="3066">
        <v>85</v>
      </c>
      <c r="AJ812" s="3066">
        <v>159.09</v>
      </c>
      <c r="AK812" s="3066">
        <v>159.09</v>
      </c>
      <c r="AL812" s="3066">
        <v>1031.5899999999999</v>
      </c>
      <c r="AM812" s="3066">
        <v>1031.5899999999999</v>
      </c>
      <c r="AN812" s="3066" t="s">
        <v>3560</v>
      </c>
      <c r="AP812" s="3068">
        <f t="shared" si="12"/>
        <v>21</v>
      </c>
    </row>
    <row r="813" spans="2:42" ht="27" customHeight="1">
      <c r="B813" s="3066">
        <v>821</v>
      </c>
      <c r="C813" s="3066" t="s">
        <v>3224</v>
      </c>
      <c r="D813" s="3066" t="s">
        <v>3901</v>
      </c>
      <c r="E813" s="3066" t="s">
        <v>6086</v>
      </c>
      <c r="F813" s="3066" t="s">
        <v>3917</v>
      </c>
      <c r="G813" s="3066" t="s">
        <v>1373</v>
      </c>
      <c r="H813" s="3066" t="s">
        <v>3560</v>
      </c>
      <c r="I813" s="3066" t="s">
        <v>6087</v>
      </c>
      <c r="J813" s="3066" t="s">
        <v>3560</v>
      </c>
      <c r="K813" s="3066" t="s">
        <v>3560</v>
      </c>
      <c r="L813" s="3066" t="s">
        <v>6088</v>
      </c>
      <c r="M813" s="3066" t="s">
        <v>6089</v>
      </c>
      <c r="N813" s="3066">
        <v>37.5</v>
      </c>
      <c r="O813" s="3066" t="s">
        <v>6090</v>
      </c>
      <c r="P813" s="3066" t="s">
        <v>3566</v>
      </c>
      <c r="Q813" s="3066">
        <v>1</v>
      </c>
      <c r="R813" s="3066">
        <v>2505</v>
      </c>
      <c r="S813" s="3066" t="s">
        <v>3567</v>
      </c>
      <c r="T813" s="3066">
        <v>20</v>
      </c>
      <c r="U813" s="3066">
        <v>750</v>
      </c>
      <c r="V813" s="3066" t="s">
        <v>3560</v>
      </c>
      <c r="W813" s="3066" t="s">
        <v>3568</v>
      </c>
      <c r="X813" s="3066">
        <v>2.27</v>
      </c>
      <c r="Y813" s="3066">
        <v>1020</v>
      </c>
      <c r="Z813" s="3066" t="s">
        <v>3568</v>
      </c>
      <c r="AA813" s="3066" t="s">
        <v>3560</v>
      </c>
      <c r="AB813" s="3066" t="s">
        <v>3677</v>
      </c>
      <c r="AC813" s="3066" t="s">
        <v>3677</v>
      </c>
      <c r="AD813" s="3066" t="s">
        <v>3677</v>
      </c>
      <c r="AE813" s="3066" t="s">
        <v>3560</v>
      </c>
      <c r="AF813" s="3067">
        <v>750</v>
      </c>
      <c r="AG813" s="3066">
        <v>750</v>
      </c>
      <c r="AH813" s="3066">
        <v>85</v>
      </c>
      <c r="AI813" s="3066">
        <v>85</v>
      </c>
      <c r="AJ813" s="3066">
        <v>69.95</v>
      </c>
      <c r="AK813" s="3066">
        <v>69.95</v>
      </c>
      <c r="AL813" s="3066">
        <v>904.95</v>
      </c>
      <c r="AM813" s="3066">
        <v>904.95</v>
      </c>
      <c r="AN813" s="3066" t="s">
        <v>3560</v>
      </c>
      <c r="AP813" s="3068">
        <f t="shared" si="12"/>
        <v>20</v>
      </c>
    </row>
    <row r="814" spans="2:42" ht="27" customHeight="1">
      <c r="B814" s="3066">
        <v>822</v>
      </c>
      <c r="C814" s="3066" t="s">
        <v>3224</v>
      </c>
      <c r="D814" s="3066" t="s">
        <v>3901</v>
      </c>
      <c r="E814" s="3066" t="s">
        <v>6091</v>
      </c>
      <c r="F814" s="3066" t="s">
        <v>3917</v>
      </c>
      <c r="G814" s="3066" t="s">
        <v>1373</v>
      </c>
      <c r="H814" s="3066" t="s">
        <v>3560</v>
      </c>
      <c r="I814" s="3066" t="s">
        <v>6092</v>
      </c>
      <c r="J814" s="3066" t="s">
        <v>6092</v>
      </c>
      <c r="K814" s="3066" t="s">
        <v>3560</v>
      </c>
      <c r="L814" s="3066" t="s">
        <v>6093</v>
      </c>
      <c r="M814" s="3066" t="s">
        <v>6094</v>
      </c>
      <c r="N814" s="3066">
        <v>37.5</v>
      </c>
      <c r="O814" s="3066" t="s">
        <v>3939</v>
      </c>
      <c r="P814" s="3066" t="s">
        <v>3940</v>
      </c>
      <c r="Q814" s="3066">
        <v>1</v>
      </c>
      <c r="R814" s="3066">
        <v>4175</v>
      </c>
      <c r="S814" s="3066" t="s">
        <v>3567</v>
      </c>
      <c r="T814" s="3066">
        <v>20</v>
      </c>
      <c r="U814" s="3066">
        <v>750</v>
      </c>
      <c r="V814" s="3066" t="s">
        <v>3560</v>
      </c>
      <c r="W814" s="3066" t="s">
        <v>3568</v>
      </c>
      <c r="X814" s="3066">
        <v>2.27</v>
      </c>
      <c r="Y814" s="3066">
        <v>1020</v>
      </c>
      <c r="Z814" s="3066" t="s">
        <v>3568</v>
      </c>
      <c r="AA814" s="3066" t="s">
        <v>3560</v>
      </c>
      <c r="AB814" s="3066" t="s">
        <v>3941</v>
      </c>
      <c r="AC814" s="3066" t="s">
        <v>3941</v>
      </c>
      <c r="AD814" s="3066" t="s">
        <v>3941</v>
      </c>
      <c r="AE814" s="3066" t="s">
        <v>3560</v>
      </c>
      <c r="AF814" s="3067">
        <v>750</v>
      </c>
      <c r="AG814" s="3066">
        <v>750</v>
      </c>
      <c r="AH814" s="3066">
        <v>85</v>
      </c>
      <c r="AI814" s="3066">
        <v>85</v>
      </c>
      <c r="AJ814" s="3066">
        <v>39.26</v>
      </c>
      <c r="AK814" s="3066">
        <v>39.26</v>
      </c>
      <c r="AL814" s="3066">
        <v>874.26</v>
      </c>
      <c r="AM814" s="3066">
        <v>874.26</v>
      </c>
      <c r="AN814" s="3066" t="s">
        <v>3560</v>
      </c>
      <c r="AP814" s="3068">
        <f t="shared" si="12"/>
        <v>20</v>
      </c>
    </row>
    <row r="815" spans="2:42" ht="27" customHeight="1">
      <c r="B815" s="3066">
        <v>823</v>
      </c>
      <c r="C815" s="3066" t="s">
        <v>3224</v>
      </c>
      <c r="D815" s="3066" t="s">
        <v>3901</v>
      </c>
      <c r="E815" s="3066" t="s">
        <v>6091</v>
      </c>
      <c r="F815" s="3066" t="s">
        <v>3917</v>
      </c>
      <c r="G815" s="3066" t="s">
        <v>3560</v>
      </c>
      <c r="H815" s="3066" t="s">
        <v>3560</v>
      </c>
      <c r="I815" s="3066" t="s">
        <v>6095</v>
      </c>
      <c r="J815" s="3066" t="s">
        <v>6095</v>
      </c>
      <c r="K815" s="3066" t="s">
        <v>3560</v>
      </c>
      <c r="L815" s="3066" t="s">
        <v>6096</v>
      </c>
      <c r="M815" s="3066" t="s">
        <v>6094</v>
      </c>
      <c r="N815" s="3066">
        <v>37.5</v>
      </c>
      <c r="O815" s="3066" t="s">
        <v>5211</v>
      </c>
      <c r="P815" s="3066" t="s">
        <v>3566</v>
      </c>
      <c r="Q815" s="3066">
        <v>1</v>
      </c>
      <c r="R815" s="3066">
        <v>4363</v>
      </c>
      <c r="S815" s="3066" t="s">
        <v>3567</v>
      </c>
      <c r="T815" s="3066">
        <v>21</v>
      </c>
      <c r="U815" s="3066">
        <v>787.5</v>
      </c>
      <c r="V815" s="3066" t="s">
        <v>3560</v>
      </c>
      <c r="W815" s="3066" t="s">
        <v>3568</v>
      </c>
      <c r="X815" s="3066">
        <v>2.27</v>
      </c>
      <c r="Y815" s="3066">
        <v>1020</v>
      </c>
      <c r="Z815" s="3066" t="s">
        <v>3568</v>
      </c>
      <c r="AA815" s="3066" t="s">
        <v>3560</v>
      </c>
      <c r="AB815" s="3066" t="s">
        <v>3943</v>
      </c>
      <c r="AC815" s="3066" t="s">
        <v>3943</v>
      </c>
      <c r="AD815" s="3066" t="s">
        <v>3943</v>
      </c>
      <c r="AE815" s="3066" t="s">
        <v>3560</v>
      </c>
      <c r="AF815" s="3067">
        <v>0</v>
      </c>
      <c r="AG815" s="3066">
        <v>0</v>
      </c>
      <c r="AH815" s="3066">
        <v>0</v>
      </c>
      <c r="AI815" s="3066">
        <v>0</v>
      </c>
      <c r="AJ815" s="3066">
        <v>0</v>
      </c>
      <c r="AK815" s="3066">
        <v>0</v>
      </c>
      <c r="AL815" s="3066">
        <v>0</v>
      </c>
      <c r="AM815" s="3066">
        <v>0</v>
      </c>
      <c r="AN815" s="3066" t="s">
        <v>3560</v>
      </c>
      <c r="AP815" s="3068">
        <f t="shared" si="12"/>
        <v>0</v>
      </c>
    </row>
    <row r="816" spans="2:42" ht="27" customHeight="1">
      <c r="B816" s="3066">
        <v>824</v>
      </c>
      <c r="C816" s="3066" t="s">
        <v>3224</v>
      </c>
      <c r="D816" s="3066" t="s">
        <v>3901</v>
      </c>
      <c r="E816" s="3066" t="s">
        <v>6097</v>
      </c>
      <c r="F816" s="3066" t="s">
        <v>3917</v>
      </c>
      <c r="G816" s="3066" t="s">
        <v>1373</v>
      </c>
      <c r="H816" s="3066" t="s">
        <v>3560</v>
      </c>
      <c r="I816" s="3066" t="s">
        <v>3657</v>
      </c>
      <c r="J816" s="3066" t="s">
        <v>3658</v>
      </c>
      <c r="K816" s="3066" t="s">
        <v>3560</v>
      </c>
      <c r="L816" s="3066" t="s">
        <v>3659</v>
      </c>
      <c r="M816" s="3066" t="s">
        <v>6098</v>
      </c>
      <c r="N816" s="3066">
        <v>37.5</v>
      </c>
      <c r="O816" s="3066" t="s">
        <v>3931</v>
      </c>
      <c r="P816" s="3066" t="s">
        <v>3566</v>
      </c>
      <c r="Q816" s="3066">
        <v>1</v>
      </c>
      <c r="R816" s="3066">
        <v>2475</v>
      </c>
      <c r="S816" s="3066" t="s">
        <v>3567</v>
      </c>
      <c r="T816" s="3066">
        <v>20</v>
      </c>
      <c r="U816" s="3066">
        <v>750</v>
      </c>
      <c r="V816" s="3066" t="s">
        <v>3560</v>
      </c>
      <c r="W816" s="3066" t="s">
        <v>3568</v>
      </c>
      <c r="X816" s="3066">
        <v>2</v>
      </c>
      <c r="Y816" s="3066">
        <v>900</v>
      </c>
      <c r="Z816" s="3066" t="s">
        <v>3568</v>
      </c>
      <c r="AA816" s="3066" t="s">
        <v>3560</v>
      </c>
      <c r="AB816" s="3066" t="s">
        <v>3932</v>
      </c>
      <c r="AC816" s="3066" t="s">
        <v>3932</v>
      </c>
      <c r="AD816" s="3066" t="s">
        <v>3932</v>
      </c>
      <c r="AE816" s="3066" t="s">
        <v>3560</v>
      </c>
      <c r="AF816" s="3067">
        <v>750</v>
      </c>
      <c r="AG816" s="3066">
        <v>750</v>
      </c>
      <c r="AH816" s="3066">
        <v>75</v>
      </c>
      <c r="AI816" s="3066">
        <v>75</v>
      </c>
      <c r="AJ816" s="3066">
        <v>101.17</v>
      </c>
      <c r="AK816" s="3066">
        <v>101.17</v>
      </c>
      <c r="AL816" s="3066">
        <v>926.17</v>
      </c>
      <c r="AM816" s="3066">
        <v>926.17</v>
      </c>
      <c r="AN816" s="3066" t="s">
        <v>3560</v>
      </c>
      <c r="AP816" s="3068">
        <f t="shared" si="12"/>
        <v>20</v>
      </c>
    </row>
    <row r="817" spans="2:42" ht="27" customHeight="1">
      <c r="B817" s="3066">
        <v>825</v>
      </c>
      <c r="C817" s="3066" t="s">
        <v>3224</v>
      </c>
      <c r="D817" s="3066" t="s">
        <v>3901</v>
      </c>
      <c r="E817" s="3066" t="s">
        <v>6099</v>
      </c>
      <c r="F817" s="3066" t="s">
        <v>3917</v>
      </c>
      <c r="G817" s="3066" t="s">
        <v>1373</v>
      </c>
      <c r="H817" s="3066" t="s">
        <v>3560</v>
      </c>
      <c r="I817" s="3066" t="s">
        <v>3732</v>
      </c>
      <c r="J817" s="3066" t="s">
        <v>3695</v>
      </c>
      <c r="K817" s="3066" t="s">
        <v>3560</v>
      </c>
      <c r="L817" s="3066" t="s">
        <v>3696</v>
      </c>
      <c r="M817" s="3066" t="s">
        <v>6100</v>
      </c>
      <c r="N817" s="3066">
        <v>37.5</v>
      </c>
      <c r="O817" s="3066" t="s">
        <v>6101</v>
      </c>
      <c r="P817" s="3066" t="s">
        <v>3566</v>
      </c>
      <c r="Q817" s="3066">
        <v>1</v>
      </c>
      <c r="R817" s="3066">
        <v>2475</v>
      </c>
      <c r="S817" s="3066" t="s">
        <v>3567</v>
      </c>
      <c r="T817" s="3066">
        <v>20</v>
      </c>
      <c r="U817" s="3066">
        <v>750</v>
      </c>
      <c r="V817" s="3066" t="s">
        <v>3560</v>
      </c>
      <c r="W817" s="3066" t="s">
        <v>3568</v>
      </c>
      <c r="X817" s="3066">
        <v>2</v>
      </c>
      <c r="Y817" s="3066">
        <v>900</v>
      </c>
      <c r="Z817" s="3066" t="s">
        <v>3568</v>
      </c>
      <c r="AA817" s="3066" t="s">
        <v>3560</v>
      </c>
      <c r="AB817" s="3066" t="s">
        <v>4087</v>
      </c>
      <c r="AC817" s="3066" t="s">
        <v>4087</v>
      </c>
      <c r="AD817" s="3066" t="s">
        <v>4087</v>
      </c>
      <c r="AE817" s="3066" t="s">
        <v>3560</v>
      </c>
      <c r="AF817" s="3067">
        <v>750</v>
      </c>
      <c r="AG817" s="3066">
        <v>750</v>
      </c>
      <c r="AH817" s="3066">
        <v>75</v>
      </c>
      <c r="AI817" s="3066">
        <v>75</v>
      </c>
      <c r="AJ817" s="3066">
        <v>237.09</v>
      </c>
      <c r="AK817" s="3066">
        <v>237.09</v>
      </c>
      <c r="AL817" s="3066">
        <v>1062.0899999999999</v>
      </c>
      <c r="AM817" s="3066">
        <v>1062.0899999999999</v>
      </c>
      <c r="AN817" s="3066" t="s">
        <v>3560</v>
      </c>
      <c r="AP817" s="3068">
        <f t="shared" si="12"/>
        <v>20</v>
      </c>
    </row>
    <row r="818" spans="2:42" ht="27" customHeight="1">
      <c r="B818" s="3066">
        <v>826</v>
      </c>
      <c r="C818" s="3066" t="s">
        <v>3224</v>
      </c>
      <c r="D818" s="3066" t="s">
        <v>3901</v>
      </c>
      <c r="E818" s="3066" t="s">
        <v>6102</v>
      </c>
      <c r="F818" s="3066" t="s">
        <v>3917</v>
      </c>
      <c r="G818" s="3066" t="s">
        <v>1373</v>
      </c>
      <c r="H818" s="3066" t="s">
        <v>3560</v>
      </c>
      <c r="I818" s="3066" t="s">
        <v>6103</v>
      </c>
      <c r="J818" s="3066" t="s">
        <v>6103</v>
      </c>
      <c r="K818" s="3066" t="s">
        <v>3560</v>
      </c>
      <c r="L818" s="3066" t="s">
        <v>6104</v>
      </c>
      <c r="M818" s="3066" t="s">
        <v>6105</v>
      </c>
      <c r="N818" s="3066">
        <v>37.5</v>
      </c>
      <c r="O818" s="3066" t="s">
        <v>5211</v>
      </c>
      <c r="P818" s="3066" t="s">
        <v>3566</v>
      </c>
      <c r="Q818" s="3066">
        <v>1</v>
      </c>
      <c r="R818" s="3066">
        <v>4362.5</v>
      </c>
      <c r="S818" s="3066" t="s">
        <v>3567</v>
      </c>
      <c r="T818" s="3066">
        <v>21</v>
      </c>
      <c r="U818" s="3066">
        <v>787.5</v>
      </c>
      <c r="V818" s="3066" t="s">
        <v>3560</v>
      </c>
      <c r="W818" s="3066" t="s">
        <v>3568</v>
      </c>
      <c r="X818" s="3066">
        <v>2.27</v>
      </c>
      <c r="Y818" s="3066">
        <v>1020</v>
      </c>
      <c r="Z818" s="3066" t="s">
        <v>3568</v>
      </c>
      <c r="AA818" s="3066" t="s">
        <v>3560</v>
      </c>
      <c r="AB818" s="3066" t="s">
        <v>3943</v>
      </c>
      <c r="AC818" s="3066" t="s">
        <v>3943</v>
      </c>
      <c r="AD818" s="3066" t="s">
        <v>3943</v>
      </c>
      <c r="AE818" s="3066" t="s">
        <v>3560</v>
      </c>
      <c r="AF818" s="3067">
        <v>750</v>
      </c>
      <c r="AG818" s="3066">
        <v>750</v>
      </c>
      <c r="AH818" s="3066">
        <v>85</v>
      </c>
      <c r="AI818" s="3066">
        <v>85</v>
      </c>
      <c r="AJ818" s="3066">
        <v>102.76</v>
      </c>
      <c r="AK818" s="3066">
        <v>102.76</v>
      </c>
      <c r="AL818" s="3066">
        <v>937.76</v>
      </c>
      <c r="AM818" s="3066">
        <v>937.76</v>
      </c>
      <c r="AN818" s="3066" t="s">
        <v>3560</v>
      </c>
      <c r="AP818" s="3068">
        <f t="shared" si="12"/>
        <v>20</v>
      </c>
    </row>
    <row r="819" spans="2:42" ht="27" customHeight="1">
      <c r="B819" s="3066">
        <v>827</v>
      </c>
      <c r="C819" s="3066" t="s">
        <v>3224</v>
      </c>
      <c r="D819" s="3066" t="s">
        <v>3901</v>
      </c>
      <c r="E819" s="3066" t="s">
        <v>6106</v>
      </c>
      <c r="F819" s="3066" t="s">
        <v>3917</v>
      </c>
      <c r="G819" s="3066" t="s">
        <v>1373</v>
      </c>
      <c r="H819" s="3066" t="s">
        <v>3560</v>
      </c>
      <c r="I819" s="3066" t="s">
        <v>3694</v>
      </c>
      <c r="J819" s="3066" t="s">
        <v>3695</v>
      </c>
      <c r="K819" s="3066" t="s">
        <v>3560</v>
      </c>
      <c r="L819" s="3066" t="s">
        <v>3696</v>
      </c>
      <c r="M819" s="3066" t="s">
        <v>6107</v>
      </c>
      <c r="N819" s="3066">
        <v>37.5</v>
      </c>
      <c r="O819" s="3066" t="s">
        <v>3744</v>
      </c>
      <c r="P819" s="3066" t="s">
        <v>3566</v>
      </c>
      <c r="Q819" s="3066">
        <v>1</v>
      </c>
      <c r="R819" s="3066">
        <v>4950</v>
      </c>
      <c r="S819" s="3066" t="s">
        <v>3567</v>
      </c>
      <c r="T819" s="3066">
        <v>20</v>
      </c>
      <c r="U819" s="3066">
        <v>750</v>
      </c>
      <c r="V819" s="3066" t="s">
        <v>3560</v>
      </c>
      <c r="W819" s="3066" t="s">
        <v>3568</v>
      </c>
      <c r="X819" s="3066">
        <v>2</v>
      </c>
      <c r="Y819" s="3066">
        <v>900</v>
      </c>
      <c r="Z819" s="3066" t="s">
        <v>3568</v>
      </c>
      <c r="AA819" s="3066" t="s">
        <v>3560</v>
      </c>
      <c r="AB819" s="3066" t="s">
        <v>3746</v>
      </c>
      <c r="AC819" s="3066" t="s">
        <v>3746</v>
      </c>
      <c r="AD819" s="3066" t="s">
        <v>3746</v>
      </c>
      <c r="AE819" s="3066" t="s">
        <v>3560</v>
      </c>
      <c r="AF819" s="3067">
        <v>750</v>
      </c>
      <c r="AG819" s="3066">
        <v>750</v>
      </c>
      <c r="AH819" s="3066">
        <v>75</v>
      </c>
      <c r="AI819" s="3066">
        <v>75</v>
      </c>
      <c r="AJ819" s="3066">
        <v>80.92</v>
      </c>
      <c r="AK819" s="3066">
        <v>80.92</v>
      </c>
      <c r="AL819" s="3066">
        <v>905.92</v>
      </c>
      <c r="AM819" s="3066">
        <v>905.92</v>
      </c>
      <c r="AN819" s="3066" t="s">
        <v>3560</v>
      </c>
      <c r="AP819" s="3068">
        <f t="shared" si="12"/>
        <v>20</v>
      </c>
    </row>
    <row r="820" spans="2:42" ht="27" customHeight="1">
      <c r="B820" s="3066">
        <v>828</v>
      </c>
      <c r="C820" s="3066" t="s">
        <v>3224</v>
      </c>
      <c r="D820" s="3066" t="s">
        <v>3901</v>
      </c>
      <c r="E820" s="3066" t="s">
        <v>6108</v>
      </c>
      <c r="F820" s="3066" t="s">
        <v>3917</v>
      </c>
      <c r="G820" s="3066" t="s">
        <v>1373</v>
      </c>
      <c r="H820" s="3066" t="s">
        <v>3560</v>
      </c>
      <c r="I820" s="3066" t="s">
        <v>3694</v>
      </c>
      <c r="J820" s="3066" t="s">
        <v>3695</v>
      </c>
      <c r="K820" s="3066" t="s">
        <v>3560</v>
      </c>
      <c r="L820" s="3066" t="s">
        <v>3696</v>
      </c>
      <c r="M820" s="3066" t="s">
        <v>6109</v>
      </c>
      <c r="N820" s="3066">
        <v>37.5</v>
      </c>
      <c r="O820" s="3066" t="s">
        <v>3744</v>
      </c>
      <c r="P820" s="3066" t="s">
        <v>3566</v>
      </c>
      <c r="Q820" s="3066">
        <v>1</v>
      </c>
      <c r="R820" s="3066">
        <v>0</v>
      </c>
      <c r="S820" s="3066" t="s">
        <v>3577</v>
      </c>
      <c r="T820" s="3066">
        <v>20</v>
      </c>
      <c r="U820" s="3066">
        <v>750</v>
      </c>
      <c r="V820" s="3066" t="s">
        <v>3560</v>
      </c>
      <c r="W820" s="3066" t="s">
        <v>3568</v>
      </c>
      <c r="X820" s="3066">
        <v>2</v>
      </c>
      <c r="Y820" s="3066">
        <v>900</v>
      </c>
      <c r="Z820" s="3066" t="s">
        <v>3568</v>
      </c>
      <c r="AA820" s="3066" t="s">
        <v>3560</v>
      </c>
      <c r="AB820" s="3066" t="s">
        <v>3746</v>
      </c>
      <c r="AC820" s="3066" t="s">
        <v>3746</v>
      </c>
      <c r="AD820" s="3066" t="s">
        <v>3746</v>
      </c>
      <c r="AE820" s="3066" t="s">
        <v>3560</v>
      </c>
      <c r="AF820" s="3067">
        <v>750</v>
      </c>
      <c r="AG820" s="3066">
        <v>750</v>
      </c>
      <c r="AH820" s="3066">
        <v>75</v>
      </c>
      <c r="AI820" s="3066">
        <v>75</v>
      </c>
      <c r="AJ820" s="3066">
        <v>48.04</v>
      </c>
      <c r="AK820" s="3066">
        <v>48.04</v>
      </c>
      <c r="AL820" s="3066">
        <v>873.04</v>
      </c>
      <c r="AM820" s="3066">
        <v>873.04</v>
      </c>
      <c r="AN820" s="3066" t="s">
        <v>3560</v>
      </c>
      <c r="AP820" s="3068">
        <f t="shared" si="12"/>
        <v>20</v>
      </c>
    </row>
    <row r="821" spans="2:42" ht="27" customHeight="1">
      <c r="B821" s="3066">
        <v>829</v>
      </c>
      <c r="C821" s="3066" t="s">
        <v>3224</v>
      </c>
      <c r="D821" s="3066" t="s">
        <v>3901</v>
      </c>
      <c r="E821" s="3066" t="s">
        <v>6110</v>
      </c>
      <c r="F821" s="3066" t="s">
        <v>3917</v>
      </c>
      <c r="G821" s="3066" t="s">
        <v>1373</v>
      </c>
      <c r="H821" s="3066" t="s">
        <v>3560</v>
      </c>
      <c r="I821" s="3066" t="s">
        <v>3820</v>
      </c>
      <c r="J821" s="3066" t="s">
        <v>3821</v>
      </c>
      <c r="K821" s="3066" t="s">
        <v>3560</v>
      </c>
      <c r="L821" s="3066" t="s">
        <v>3822</v>
      </c>
      <c r="M821" s="3066" t="s">
        <v>6111</v>
      </c>
      <c r="N821" s="3066">
        <v>37.5</v>
      </c>
      <c r="O821" s="3066" t="s">
        <v>3919</v>
      </c>
      <c r="P821" s="3066" t="s">
        <v>3566</v>
      </c>
      <c r="Q821" s="3066">
        <v>1</v>
      </c>
      <c r="R821" s="3066">
        <v>0</v>
      </c>
      <c r="S821" s="3066" t="s">
        <v>3577</v>
      </c>
      <c r="T821" s="3066">
        <v>20</v>
      </c>
      <c r="U821" s="3066">
        <v>750</v>
      </c>
      <c r="V821" s="3066" t="s">
        <v>3560</v>
      </c>
      <c r="W821" s="3066" t="s">
        <v>3568</v>
      </c>
      <c r="X821" s="3066">
        <v>2</v>
      </c>
      <c r="Y821" s="3066">
        <v>900</v>
      </c>
      <c r="Z821" s="3066" t="s">
        <v>3568</v>
      </c>
      <c r="AA821" s="3066" t="s">
        <v>3560</v>
      </c>
      <c r="AB821" s="3066" t="s">
        <v>3920</v>
      </c>
      <c r="AC821" s="3066" t="s">
        <v>3920</v>
      </c>
      <c r="AD821" s="3066" t="s">
        <v>3920</v>
      </c>
      <c r="AE821" s="3066" t="s">
        <v>3560</v>
      </c>
      <c r="AF821" s="3067">
        <v>750</v>
      </c>
      <c r="AG821" s="3066">
        <v>750</v>
      </c>
      <c r="AH821" s="3066">
        <v>75</v>
      </c>
      <c r="AI821" s="3066">
        <v>75</v>
      </c>
      <c r="AJ821" s="3066">
        <v>113.5</v>
      </c>
      <c r="AK821" s="3066">
        <v>113.5</v>
      </c>
      <c r="AL821" s="3066">
        <v>938.5</v>
      </c>
      <c r="AM821" s="3066">
        <v>938.5</v>
      </c>
      <c r="AN821" s="3066" t="s">
        <v>3560</v>
      </c>
      <c r="AP821" s="3068">
        <f t="shared" si="12"/>
        <v>20</v>
      </c>
    </row>
    <row r="822" spans="2:42" ht="27" customHeight="1">
      <c r="B822" s="3066">
        <v>830</v>
      </c>
      <c r="C822" s="3066" t="s">
        <v>3224</v>
      </c>
      <c r="D822" s="3066" t="s">
        <v>3901</v>
      </c>
      <c r="E822" s="3066" t="s">
        <v>6112</v>
      </c>
      <c r="F822" s="3066" t="s">
        <v>3917</v>
      </c>
      <c r="G822" s="3066" t="s">
        <v>1373</v>
      </c>
      <c r="H822" s="3066" t="s">
        <v>3560</v>
      </c>
      <c r="I822" s="3066" t="s">
        <v>3820</v>
      </c>
      <c r="J822" s="3066" t="s">
        <v>3821</v>
      </c>
      <c r="K822" s="3066" t="s">
        <v>3560</v>
      </c>
      <c r="L822" s="3066" t="s">
        <v>3822</v>
      </c>
      <c r="M822" s="3066" t="s">
        <v>6113</v>
      </c>
      <c r="N822" s="3066">
        <v>41.8</v>
      </c>
      <c r="O822" s="3066" t="s">
        <v>3919</v>
      </c>
      <c r="P822" s="3066" t="s">
        <v>3566</v>
      </c>
      <c r="Q822" s="3066">
        <v>1</v>
      </c>
      <c r="R822" s="3066">
        <v>1474.8</v>
      </c>
      <c r="S822" s="3066" t="s">
        <v>3567</v>
      </c>
      <c r="T822" s="3066">
        <v>20</v>
      </c>
      <c r="U822" s="3066">
        <v>836</v>
      </c>
      <c r="V822" s="3066" t="s">
        <v>3560</v>
      </c>
      <c r="W822" s="3066" t="s">
        <v>3568</v>
      </c>
      <c r="X822" s="3066">
        <v>2</v>
      </c>
      <c r="Y822" s="3066">
        <v>1003.2</v>
      </c>
      <c r="Z822" s="3066" t="s">
        <v>3568</v>
      </c>
      <c r="AA822" s="3066" t="s">
        <v>3560</v>
      </c>
      <c r="AB822" s="3066" t="s">
        <v>3920</v>
      </c>
      <c r="AC822" s="3066" t="s">
        <v>3920</v>
      </c>
      <c r="AD822" s="3066" t="s">
        <v>3920</v>
      </c>
      <c r="AE822" s="3066" t="s">
        <v>3560</v>
      </c>
      <c r="AF822" s="3067">
        <v>836</v>
      </c>
      <c r="AG822" s="3066">
        <v>836</v>
      </c>
      <c r="AH822" s="3066">
        <v>83.6</v>
      </c>
      <c r="AI822" s="3066">
        <v>83.6</v>
      </c>
      <c r="AJ822" s="3066">
        <v>71.17</v>
      </c>
      <c r="AK822" s="3066">
        <v>71.17</v>
      </c>
      <c r="AL822" s="3066">
        <v>990.77</v>
      </c>
      <c r="AM822" s="3066">
        <v>990.77</v>
      </c>
      <c r="AN822" s="3066" t="s">
        <v>3560</v>
      </c>
      <c r="AP822" s="3068">
        <f t="shared" si="12"/>
        <v>20</v>
      </c>
    </row>
    <row r="823" spans="2:42" ht="27" customHeight="1">
      <c r="B823" s="3066">
        <v>831</v>
      </c>
      <c r="C823" s="3066" t="s">
        <v>6114</v>
      </c>
      <c r="D823" s="3066" t="s">
        <v>4019</v>
      </c>
      <c r="E823" s="3066" t="s">
        <v>6115</v>
      </c>
      <c r="F823" s="3066" t="s">
        <v>3917</v>
      </c>
      <c r="G823" s="3066" t="s">
        <v>3560</v>
      </c>
      <c r="H823" s="3066" t="s">
        <v>3560</v>
      </c>
      <c r="I823" s="3066" t="s">
        <v>6116</v>
      </c>
      <c r="J823" s="3066" t="s">
        <v>6116</v>
      </c>
      <c r="K823" s="3066" t="s">
        <v>3560</v>
      </c>
      <c r="L823" s="3066" t="s">
        <v>6117</v>
      </c>
      <c r="M823" s="3066" t="s">
        <v>6118</v>
      </c>
      <c r="N823" s="3066">
        <v>86</v>
      </c>
      <c r="O823" s="3066" t="s">
        <v>4488</v>
      </c>
      <c r="P823" s="3066" t="s">
        <v>3566</v>
      </c>
      <c r="Q823" s="3066">
        <v>1</v>
      </c>
      <c r="R823" s="3066">
        <v>6996</v>
      </c>
      <c r="S823" s="3066" t="s">
        <v>3567</v>
      </c>
      <c r="T823" s="3066">
        <v>25</v>
      </c>
      <c r="U823" s="3066">
        <v>2150</v>
      </c>
      <c r="V823" s="3066" t="s">
        <v>3560</v>
      </c>
      <c r="W823" s="3066" t="s">
        <v>3568</v>
      </c>
      <c r="X823" s="3066">
        <v>2.12</v>
      </c>
      <c r="Y823" s="3066">
        <v>2184</v>
      </c>
      <c r="Z823" s="3066" t="s">
        <v>3568</v>
      </c>
      <c r="AA823" s="3066" t="s">
        <v>3560</v>
      </c>
      <c r="AB823" s="3066" t="s">
        <v>4489</v>
      </c>
      <c r="AC823" s="3066" t="s">
        <v>4489</v>
      </c>
      <c r="AD823" s="3066" t="s">
        <v>4489</v>
      </c>
      <c r="AE823" s="3066" t="s">
        <v>3560</v>
      </c>
      <c r="AF823" s="3067">
        <v>2150</v>
      </c>
      <c r="AG823" s="3066">
        <v>2150</v>
      </c>
      <c r="AH823" s="3066">
        <v>182</v>
      </c>
      <c r="AI823" s="3066">
        <v>182</v>
      </c>
      <c r="AJ823" s="3066">
        <v>35.69</v>
      </c>
      <c r="AK823" s="3066">
        <v>35.69</v>
      </c>
      <c r="AL823" s="3066">
        <v>2367.69</v>
      </c>
      <c r="AM823" s="3066">
        <v>2367.69</v>
      </c>
      <c r="AN823" s="3066" t="s">
        <v>3560</v>
      </c>
      <c r="AP823" s="3068">
        <f t="shared" si="12"/>
        <v>25</v>
      </c>
    </row>
    <row r="824" spans="2:42" ht="27" customHeight="1">
      <c r="B824" s="3066">
        <v>832</v>
      </c>
      <c r="C824" s="3066" t="s">
        <v>6114</v>
      </c>
      <c r="D824" s="3066" t="s">
        <v>4019</v>
      </c>
      <c r="E824" s="3066" t="s">
        <v>6119</v>
      </c>
      <c r="F824" s="3066" t="s">
        <v>3917</v>
      </c>
      <c r="G824" s="3066" t="s">
        <v>3560</v>
      </c>
      <c r="H824" s="3066" t="s">
        <v>3560</v>
      </c>
      <c r="I824" s="3066" t="s">
        <v>6120</v>
      </c>
      <c r="J824" s="3066" t="s">
        <v>6120</v>
      </c>
      <c r="K824" s="3066" t="s">
        <v>3560</v>
      </c>
      <c r="L824" s="3066" t="s">
        <v>6121</v>
      </c>
      <c r="M824" s="3066" t="s">
        <v>6122</v>
      </c>
      <c r="N824" s="3066">
        <v>78</v>
      </c>
      <c r="O824" s="3066" t="s">
        <v>5273</v>
      </c>
      <c r="P824" s="3066" t="s">
        <v>3566</v>
      </c>
      <c r="Q824" s="3066">
        <v>0</v>
      </c>
      <c r="R824" s="3066">
        <v>6348</v>
      </c>
      <c r="S824" s="3066" t="s">
        <v>3567</v>
      </c>
      <c r="T824" s="3066">
        <v>25</v>
      </c>
      <c r="U824" s="3066">
        <v>1950</v>
      </c>
      <c r="V824" s="3066" t="s">
        <v>3560</v>
      </c>
      <c r="W824" s="3066" t="s">
        <v>3568</v>
      </c>
      <c r="X824" s="3066">
        <v>2.13</v>
      </c>
      <c r="Y824" s="3066">
        <v>1992</v>
      </c>
      <c r="Z824" s="3066" t="s">
        <v>3568</v>
      </c>
      <c r="AA824" s="3066" t="s">
        <v>3560</v>
      </c>
      <c r="AB824" s="3066" t="s">
        <v>5274</v>
      </c>
      <c r="AC824" s="3066" t="s">
        <v>5274</v>
      </c>
      <c r="AD824" s="3066" t="s">
        <v>5274</v>
      </c>
      <c r="AE824" s="3066" t="s">
        <v>3560</v>
      </c>
      <c r="AF824" s="3067">
        <v>1950</v>
      </c>
      <c r="AG824" s="3066">
        <v>1950</v>
      </c>
      <c r="AH824" s="3066">
        <v>166</v>
      </c>
      <c r="AI824" s="3066">
        <v>166</v>
      </c>
      <c r="AJ824" s="3066">
        <v>152.80000000000001</v>
      </c>
      <c r="AK824" s="3066">
        <v>152.80000000000001</v>
      </c>
      <c r="AL824" s="3066">
        <v>2268.8000000000002</v>
      </c>
      <c r="AM824" s="3066">
        <v>2268.8000000000002</v>
      </c>
      <c r="AN824" s="3066" t="s">
        <v>3560</v>
      </c>
      <c r="AP824" s="3068">
        <f t="shared" si="12"/>
        <v>25</v>
      </c>
    </row>
    <row r="825" spans="2:42" ht="27" customHeight="1">
      <c r="B825" s="3066">
        <v>833</v>
      </c>
      <c r="C825" s="3066" t="s">
        <v>6114</v>
      </c>
      <c r="D825" s="3066" t="s">
        <v>4019</v>
      </c>
      <c r="E825" s="3066" t="s">
        <v>6123</v>
      </c>
      <c r="F825" s="3066" t="s">
        <v>3917</v>
      </c>
      <c r="G825" s="3066" t="s">
        <v>1373</v>
      </c>
      <c r="H825" s="3066" t="s">
        <v>3560</v>
      </c>
      <c r="I825" s="3066" t="s">
        <v>6124</v>
      </c>
      <c r="J825" s="3066" t="s">
        <v>3560</v>
      </c>
      <c r="K825" s="3066" t="s">
        <v>3560</v>
      </c>
      <c r="L825" s="3066" t="s">
        <v>6125</v>
      </c>
      <c r="M825" s="3066" t="s">
        <v>6126</v>
      </c>
      <c r="N825" s="3066">
        <v>86</v>
      </c>
      <c r="O825" s="3066" t="s">
        <v>4008</v>
      </c>
      <c r="P825" s="3066" t="s">
        <v>3566</v>
      </c>
      <c r="Q825" s="3066">
        <v>1</v>
      </c>
      <c r="R825" s="3066">
        <v>6966</v>
      </c>
      <c r="S825" s="3066" t="s">
        <v>3567</v>
      </c>
      <c r="T825" s="3066">
        <v>25</v>
      </c>
      <c r="U825" s="3066">
        <v>2150</v>
      </c>
      <c r="V825" s="3066" t="s">
        <v>3560</v>
      </c>
      <c r="W825" s="3066" t="s">
        <v>3568</v>
      </c>
      <c r="X825" s="3066">
        <v>2.12</v>
      </c>
      <c r="Y825" s="3066">
        <v>2184</v>
      </c>
      <c r="Z825" s="3066" t="s">
        <v>3568</v>
      </c>
      <c r="AA825" s="3066" t="s">
        <v>3560</v>
      </c>
      <c r="AB825" s="3066" t="s">
        <v>3692</v>
      </c>
      <c r="AC825" s="3066" t="s">
        <v>3692</v>
      </c>
      <c r="AD825" s="3066" t="s">
        <v>3692</v>
      </c>
      <c r="AE825" s="3066" t="s">
        <v>3560</v>
      </c>
      <c r="AF825" s="3067">
        <v>2150</v>
      </c>
      <c r="AG825" s="3066">
        <v>0</v>
      </c>
      <c r="AH825" s="3066">
        <v>182</v>
      </c>
      <c r="AI825" s="3066">
        <v>0</v>
      </c>
      <c r="AJ825" s="3066">
        <v>497.6</v>
      </c>
      <c r="AK825" s="3066">
        <v>0</v>
      </c>
      <c r="AL825" s="3066">
        <v>2829.6</v>
      </c>
      <c r="AM825" s="3066">
        <v>0</v>
      </c>
      <c r="AN825" s="3066" t="s">
        <v>3560</v>
      </c>
      <c r="AP825" s="3068">
        <f t="shared" si="12"/>
        <v>25</v>
      </c>
    </row>
    <row r="826" spans="2:42" ht="27" customHeight="1">
      <c r="B826" s="3066">
        <v>834</v>
      </c>
      <c r="C826" s="3066" t="s">
        <v>6114</v>
      </c>
      <c r="D826" s="3066" t="s">
        <v>4019</v>
      </c>
      <c r="E826" s="3066" t="s">
        <v>6127</v>
      </c>
      <c r="F826" s="3066" t="s">
        <v>3917</v>
      </c>
      <c r="G826" s="3066" t="s">
        <v>1373</v>
      </c>
      <c r="H826" s="3066" t="s">
        <v>3560</v>
      </c>
      <c r="I826" s="3066" t="s">
        <v>4021</v>
      </c>
      <c r="J826" s="3066" t="s">
        <v>4021</v>
      </c>
      <c r="K826" s="3066" t="s">
        <v>3560</v>
      </c>
      <c r="L826" s="3066" t="s">
        <v>4022</v>
      </c>
      <c r="M826" s="3066" t="s">
        <v>6128</v>
      </c>
      <c r="N826" s="3066">
        <v>78</v>
      </c>
      <c r="O826" s="3066" t="s">
        <v>3619</v>
      </c>
      <c r="P826" s="3066" t="s">
        <v>3566</v>
      </c>
      <c r="Q826" s="3066">
        <v>1</v>
      </c>
      <c r="R826" s="3066">
        <v>0</v>
      </c>
      <c r="S826" s="3066" t="s">
        <v>3577</v>
      </c>
      <c r="T826" s="3066">
        <v>26</v>
      </c>
      <c r="U826" s="3066">
        <v>2028</v>
      </c>
      <c r="V826" s="3066" t="s">
        <v>3560</v>
      </c>
      <c r="W826" s="3066" t="s">
        <v>3568</v>
      </c>
      <c r="X826" s="3066">
        <v>2.13</v>
      </c>
      <c r="Y826" s="3066">
        <v>1992</v>
      </c>
      <c r="Z826" s="3066" t="s">
        <v>3568</v>
      </c>
      <c r="AA826" s="3066" t="s">
        <v>3560</v>
      </c>
      <c r="AB826" s="3066" t="s">
        <v>3584</v>
      </c>
      <c r="AC826" s="3066" t="s">
        <v>3584</v>
      </c>
      <c r="AD826" s="3066" t="s">
        <v>3584</v>
      </c>
      <c r="AE826" s="3066" t="s">
        <v>3560</v>
      </c>
      <c r="AF826" s="3067">
        <v>2028</v>
      </c>
      <c r="AG826" s="3066">
        <v>2028</v>
      </c>
      <c r="AH826" s="3066">
        <v>166</v>
      </c>
      <c r="AI826" s="3066">
        <v>166</v>
      </c>
      <c r="AJ826" s="3066">
        <v>111.94</v>
      </c>
      <c r="AK826" s="3066">
        <v>111.94</v>
      </c>
      <c r="AL826" s="3066">
        <v>2305.94</v>
      </c>
      <c r="AM826" s="3066">
        <v>2305.94</v>
      </c>
      <c r="AN826" s="3066" t="s">
        <v>3560</v>
      </c>
      <c r="AP826" s="3068">
        <f t="shared" si="12"/>
        <v>26</v>
      </c>
    </row>
    <row r="827" spans="2:42" ht="27" customHeight="1">
      <c r="B827" s="3066">
        <v>835</v>
      </c>
      <c r="C827" s="3066" t="s">
        <v>6114</v>
      </c>
      <c r="D827" s="3066" t="s">
        <v>4019</v>
      </c>
      <c r="E827" s="3066" t="s">
        <v>6129</v>
      </c>
      <c r="F827" s="3066" t="s">
        <v>3917</v>
      </c>
      <c r="G827" s="3066" t="s">
        <v>4312</v>
      </c>
      <c r="H827" s="3066" t="s">
        <v>3560</v>
      </c>
      <c r="I827" s="3066" t="s">
        <v>6130</v>
      </c>
      <c r="J827" s="3066" t="s">
        <v>6130</v>
      </c>
      <c r="K827" s="3066" t="s">
        <v>3560</v>
      </c>
      <c r="L827" s="3066" t="s">
        <v>6131</v>
      </c>
      <c r="M827" s="3066" t="s">
        <v>6132</v>
      </c>
      <c r="N827" s="3066">
        <v>86</v>
      </c>
      <c r="O827" s="3066" t="s">
        <v>4008</v>
      </c>
      <c r="P827" s="3066" t="s">
        <v>3566</v>
      </c>
      <c r="Q827" s="3066">
        <v>1</v>
      </c>
      <c r="R827" s="3066">
        <v>6996</v>
      </c>
      <c r="S827" s="3066" t="s">
        <v>3567</v>
      </c>
      <c r="T827" s="3066">
        <v>25</v>
      </c>
      <c r="U827" s="3066">
        <v>2150</v>
      </c>
      <c r="V827" s="3066" t="s">
        <v>3560</v>
      </c>
      <c r="W827" s="3066" t="s">
        <v>3568</v>
      </c>
      <c r="X827" s="3066">
        <v>2.12</v>
      </c>
      <c r="Y827" s="3066">
        <v>2184</v>
      </c>
      <c r="Z827" s="3066" t="s">
        <v>3568</v>
      </c>
      <c r="AA827" s="3066" t="s">
        <v>3560</v>
      </c>
      <c r="AB827" s="3066" t="s">
        <v>3692</v>
      </c>
      <c r="AC827" s="3066" t="s">
        <v>3692</v>
      </c>
      <c r="AD827" s="3066" t="s">
        <v>3692</v>
      </c>
      <c r="AE827" s="3066" t="s">
        <v>3560</v>
      </c>
      <c r="AF827" s="3067">
        <v>2150</v>
      </c>
      <c r="AG827" s="3066">
        <v>2150</v>
      </c>
      <c r="AH827" s="3066">
        <v>182</v>
      </c>
      <c r="AI827" s="3066">
        <v>182</v>
      </c>
      <c r="AJ827" s="3066">
        <v>230.8</v>
      </c>
      <c r="AK827" s="3066">
        <v>230.8</v>
      </c>
      <c r="AL827" s="3066">
        <v>2562.8000000000002</v>
      </c>
      <c r="AM827" s="3066">
        <v>2562.8000000000002</v>
      </c>
      <c r="AN827" s="3066" t="s">
        <v>3560</v>
      </c>
      <c r="AP827" s="3068">
        <f t="shared" si="12"/>
        <v>25</v>
      </c>
    </row>
    <row r="828" spans="2:42" ht="27" customHeight="1">
      <c r="B828" s="3066">
        <v>836</v>
      </c>
      <c r="C828" s="3066" t="s">
        <v>6114</v>
      </c>
      <c r="D828" s="3066" t="s">
        <v>4019</v>
      </c>
      <c r="E828" s="3066" t="s">
        <v>6133</v>
      </c>
      <c r="F828" s="3066" t="s">
        <v>3917</v>
      </c>
      <c r="G828" s="3066" t="s">
        <v>1373</v>
      </c>
      <c r="H828" s="3066" t="s">
        <v>3560</v>
      </c>
      <c r="I828" s="3066" t="s">
        <v>6134</v>
      </c>
      <c r="J828" s="3066" t="s">
        <v>3560</v>
      </c>
      <c r="K828" s="3066" t="s">
        <v>3560</v>
      </c>
      <c r="L828" s="3066" t="s">
        <v>6135</v>
      </c>
      <c r="M828" s="3066" t="s">
        <v>6136</v>
      </c>
      <c r="N828" s="3066">
        <v>78</v>
      </c>
      <c r="O828" s="3066" t="s">
        <v>3950</v>
      </c>
      <c r="P828" s="3066" t="s">
        <v>3566</v>
      </c>
      <c r="Q828" s="3066">
        <v>1</v>
      </c>
      <c r="R828" s="3066">
        <v>6582</v>
      </c>
      <c r="S828" s="3066" t="s">
        <v>3567</v>
      </c>
      <c r="T828" s="3066">
        <v>26</v>
      </c>
      <c r="U828" s="3066">
        <v>2028</v>
      </c>
      <c r="V828" s="3066" t="s">
        <v>3560</v>
      </c>
      <c r="W828" s="3066" t="s">
        <v>3568</v>
      </c>
      <c r="X828" s="3066">
        <v>2.13</v>
      </c>
      <c r="Y828" s="3066">
        <v>1992</v>
      </c>
      <c r="Z828" s="3066" t="s">
        <v>3568</v>
      </c>
      <c r="AA828" s="3066" t="s">
        <v>3560</v>
      </c>
      <c r="AB828" s="3066" t="s">
        <v>3951</v>
      </c>
      <c r="AC828" s="3066" t="s">
        <v>3951</v>
      </c>
      <c r="AD828" s="3066" t="s">
        <v>3951</v>
      </c>
      <c r="AE828" s="3066" t="s">
        <v>3560</v>
      </c>
      <c r="AF828" s="3067">
        <v>2028</v>
      </c>
      <c r="AG828" s="3066">
        <v>2028</v>
      </c>
      <c r="AH828" s="3066">
        <v>166</v>
      </c>
      <c r="AI828" s="3066">
        <v>166</v>
      </c>
      <c r="AJ828" s="3066">
        <v>208.4</v>
      </c>
      <c r="AK828" s="3066">
        <v>208.4</v>
      </c>
      <c r="AL828" s="3066">
        <v>2402.4</v>
      </c>
      <c r="AM828" s="3066">
        <v>2402.4</v>
      </c>
      <c r="AN828" s="3066" t="s">
        <v>3560</v>
      </c>
      <c r="AP828" s="3068">
        <f t="shared" si="12"/>
        <v>26</v>
      </c>
    </row>
    <row r="829" spans="2:42" ht="27" customHeight="1">
      <c r="B829" s="3066">
        <v>837</v>
      </c>
      <c r="C829" s="3066" t="s">
        <v>6114</v>
      </c>
      <c r="D829" s="3066" t="s">
        <v>4019</v>
      </c>
      <c r="E829" s="3066" t="s">
        <v>6137</v>
      </c>
      <c r="F829" s="3066" t="s">
        <v>3917</v>
      </c>
      <c r="G829" s="3066" t="s">
        <v>1373</v>
      </c>
      <c r="H829" s="3066" t="s">
        <v>3560</v>
      </c>
      <c r="I829" s="3066" t="s">
        <v>3615</v>
      </c>
      <c r="J829" s="3066" t="s">
        <v>3616</v>
      </c>
      <c r="K829" s="3066" t="s">
        <v>3560</v>
      </c>
      <c r="L829" s="3066" t="s">
        <v>3617</v>
      </c>
      <c r="M829" s="3066" t="s">
        <v>6138</v>
      </c>
      <c r="N829" s="3066">
        <v>86</v>
      </c>
      <c r="O829" s="3066" t="s">
        <v>3619</v>
      </c>
      <c r="P829" s="3066" t="s">
        <v>3566</v>
      </c>
      <c r="Q829" s="3066">
        <v>1</v>
      </c>
      <c r="R829" s="3066">
        <v>2115.6</v>
      </c>
      <c r="S829" s="3066" t="s">
        <v>3567</v>
      </c>
      <c r="T829" s="3066">
        <v>26</v>
      </c>
      <c r="U829" s="3066">
        <v>2236</v>
      </c>
      <c r="V829" s="3066" t="s">
        <v>3560</v>
      </c>
      <c r="W829" s="3066" t="s">
        <v>3568</v>
      </c>
      <c r="X829" s="3066">
        <v>2</v>
      </c>
      <c r="Y829" s="3066">
        <v>2064</v>
      </c>
      <c r="Z829" s="3066" t="s">
        <v>3568</v>
      </c>
      <c r="AA829" s="3066" t="s">
        <v>3560</v>
      </c>
      <c r="AB829" s="3066" t="s">
        <v>3584</v>
      </c>
      <c r="AC829" s="3066" t="s">
        <v>3584</v>
      </c>
      <c r="AD829" s="3066" t="s">
        <v>3584</v>
      </c>
      <c r="AE829" s="3066" t="s">
        <v>3560</v>
      </c>
      <c r="AF829" s="3067">
        <v>2236</v>
      </c>
      <c r="AG829" s="3066">
        <v>0</v>
      </c>
      <c r="AH829" s="3066">
        <v>172</v>
      </c>
      <c r="AI829" s="3066">
        <v>0</v>
      </c>
      <c r="AJ829" s="3066">
        <v>317.95999999999998</v>
      </c>
      <c r="AK829" s="3066">
        <v>0</v>
      </c>
      <c r="AL829" s="3066">
        <v>2725.96</v>
      </c>
      <c r="AM829" s="3066">
        <v>0</v>
      </c>
      <c r="AN829" s="3066" t="s">
        <v>3560</v>
      </c>
      <c r="AP829" s="3068">
        <f t="shared" si="12"/>
        <v>26</v>
      </c>
    </row>
    <row r="830" spans="2:42" ht="27" customHeight="1">
      <c r="B830" s="3066">
        <v>838</v>
      </c>
      <c r="C830" s="3066" t="s">
        <v>6114</v>
      </c>
      <c r="D830" s="3066" t="s">
        <v>4019</v>
      </c>
      <c r="E830" s="3066" t="s">
        <v>6139</v>
      </c>
      <c r="F830" s="3066" t="s">
        <v>3917</v>
      </c>
      <c r="G830" s="3066" t="s">
        <v>1373</v>
      </c>
      <c r="H830" s="3066" t="s">
        <v>3560</v>
      </c>
      <c r="I830" s="3066" t="s">
        <v>4357</v>
      </c>
      <c r="J830" s="3066" t="s">
        <v>4357</v>
      </c>
      <c r="K830" s="3066" t="s">
        <v>3560</v>
      </c>
      <c r="L830" s="3066" t="s">
        <v>4358</v>
      </c>
      <c r="M830" s="3066" t="s">
        <v>6140</v>
      </c>
      <c r="N830" s="3066">
        <v>78</v>
      </c>
      <c r="O830" s="3066" t="s">
        <v>6141</v>
      </c>
      <c r="P830" s="3066" t="s">
        <v>3566</v>
      </c>
      <c r="Q830" s="3066">
        <v>0</v>
      </c>
      <c r="R830" s="3066">
        <v>6348</v>
      </c>
      <c r="S830" s="3066" t="s">
        <v>3567</v>
      </c>
      <c r="T830" s="3066">
        <v>25</v>
      </c>
      <c r="U830" s="3066">
        <v>1950</v>
      </c>
      <c r="V830" s="3066" t="s">
        <v>3560</v>
      </c>
      <c r="W830" s="3066" t="s">
        <v>3568</v>
      </c>
      <c r="X830" s="3066">
        <v>2.13</v>
      </c>
      <c r="Y830" s="3066">
        <v>1992</v>
      </c>
      <c r="Z830" s="3066" t="s">
        <v>3568</v>
      </c>
      <c r="AA830" s="3066" t="s">
        <v>3560</v>
      </c>
      <c r="AB830" s="3066" t="s">
        <v>6142</v>
      </c>
      <c r="AC830" s="3066" t="s">
        <v>6142</v>
      </c>
      <c r="AD830" s="3066" t="s">
        <v>6142</v>
      </c>
      <c r="AE830" s="3066" t="s">
        <v>3560</v>
      </c>
      <c r="AF830" s="3067">
        <v>1950</v>
      </c>
      <c r="AG830" s="3066">
        <v>1950</v>
      </c>
      <c r="AH830" s="3066">
        <v>166</v>
      </c>
      <c r="AI830" s="3066">
        <v>166</v>
      </c>
      <c r="AJ830" s="3066">
        <v>323.54000000000002</v>
      </c>
      <c r="AK830" s="3066">
        <v>323.54000000000002</v>
      </c>
      <c r="AL830" s="3066">
        <v>2439.54</v>
      </c>
      <c r="AM830" s="3066">
        <v>2439.54</v>
      </c>
      <c r="AN830" s="3066" t="s">
        <v>3560</v>
      </c>
      <c r="AP830" s="3068">
        <f t="shared" si="12"/>
        <v>25</v>
      </c>
    </row>
    <row r="831" spans="2:42" ht="27" customHeight="1">
      <c r="B831" s="3066">
        <v>839</v>
      </c>
      <c r="C831" s="3066" t="s">
        <v>6114</v>
      </c>
      <c r="D831" s="3066" t="s">
        <v>4019</v>
      </c>
      <c r="E831" s="3066" t="s">
        <v>6143</v>
      </c>
      <c r="F831" s="3066" t="s">
        <v>3917</v>
      </c>
      <c r="G831" s="3066" t="s">
        <v>3560</v>
      </c>
      <c r="H831" s="3066" t="s">
        <v>3560</v>
      </c>
      <c r="I831" s="3066" t="s">
        <v>6144</v>
      </c>
      <c r="J831" s="3066" t="s">
        <v>6144</v>
      </c>
      <c r="K831" s="3066" t="s">
        <v>3560</v>
      </c>
      <c r="L831" s="3066" t="s">
        <v>6145</v>
      </c>
      <c r="M831" s="3066" t="s">
        <v>6146</v>
      </c>
      <c r="N831" s="3066">
        <v>86</v>
      </c>
      <c r="O831" s="3066" t="s">
        <v>3619</v>
      </c>
      <c r="P831" s="3066" t="s">
        <v>3566</v>
      </c>
      <c r="Q831" s="3066">
        <v>1</v>
      </c>
      <c r="R831" s="3066">
        <v>6996</v>
      </c>
      <c r="S831" s="3066" t="s">
        <v>3567</v>
      </c>
      <c r="T831" s="3066">
        <v>25</v>
      </c>
      <c r="U831" s="3066">
        <v>2150</v>
      </c>
      <c r="V831" s="3066" t="s">
        <v>3560</v>
      </c>
      <c r="W831" s="3066" t="s">
        <v>3568</v>
      </c>
      <c r="X831" s="3066">
        <v>2.12</v>
      </c>
      <c r="Y831" s="3066">
        <v>2184</v>
      </c>
      <c r="Z831" s="3066" t="s">
        <v>3568</v>
      </c>
      <c r="AA831" s="3066" t="s">
        <v>3560</v>
      </c>
      <c r="AB831" s="3066" t="s">
        <v>3584</v>
      </c>
      <c r="AC831" s="3066" t="s">
        <v>3584</v>
      </c>
      <c r="AD831" s="3066" t="s">
        <v>3584</v>
      </c>
      <c r="AE831" s="3066" t="s">
        <v>3560</v>
      </c>
      <c r="AF831" s="3067">
        <v>2150</v>
      </c>
      <c r="AG831" s="3066">
        <v>2150</v>
      </c>
      <c r="AH831" s="3066">
        <v>182</v>
      </c>
      <c r="AI831" s="3066">
        <v>182</v>
      </c>
      <c r="AJ831" s="3066">
        <v>94.51</v>
      </c>
      <c r="AK831" s="3066">
        <v>94.51</v>
      </c>
      <c r="AL831" s="3066">
        <v>2426.5100000000002</v>
      </c>
      <c r="AM831" s="3066">
        <v>2426.5100000000002</v>
      </c>
      <c r="AN831" s="3066" t="s">
        <v>3560</v>
      </c>
      <c r="AP831" s="3068">
        <f t="shared" si="12"/>
        <v>25</v>
      </c>
    </row>
    <row r="832" spans="2:42" ht="27" customHeight="1">
      <c r="B832" s="3066">
        <v>840</v>
      </c>
      <c r="C832" s="3066" t="s">
        <v>6114</v>
      </c>
      <c r="D832" s="3066" t="s">
        <v>4019</v>
      </c>
      <c r="E832" s="3066" t="s">
        <v>6147</v>
      </c>
      <c r="F832" s="3066" t="s">
        <v>3917</v>
      </c>
      <c r="G832" s="3066" t="s">
        <v>1373</v>
      </c>
      <c r="H832" s="3066" t="s">
        <v>3560</v>
      </c>
      <c r="I832" s="3066" t="s">
        <v>3860</v>
      </c>
      <c r="J832" s="3066" t="s">
        <v>3861</v>
      </c>
      <c r="K832" s="3066" t="s">
        <v>3560</v>
      </c>
      <c r="L832" s="3066" t="s">
        <v>3862</v>
      </c>
      <c r="M832" s="3066" t="s">
        <v>6148</v>
      </c>
      <c r="N832" s="3066">
        <v>78</v>
      </c>
      <c r="O832" s="3066" t="s">
        <v>3619</v>
      </c>
      <c r="P832" s="3066" t="s">
        <v>3566</v>
      </c>
      <c r="Q832" s="3066">
        <v>1</v>
      </c>
      <c r="R832" s="3066">
        <v>1918.8</v>
      </c>
      <c r="S832" s="3066" t="s">
        <v>3567</v>
      </c>
      <c r="T832" s="3066">
        <v>25</v>
      </c>
      <c r="U832" s="3066">
        <v>1950</v>
      </c>
      <c r="V832" s="3066" t="s">
        <v>3560</v>
      </c>
      <c r="W832" s="3066" t="s">
        <v>3568</v>
      </c>
      <c r="X832" s="3066">
        <v>2</v>
      </c>
      <c r="Y832" s="3066">
        <v>1872</v>
      </c>
      <c r="Z832" s="3066" t="s">
        <v>3568</v>
      </c>
      <c r="AA832" s="3066" t="s">
        <v>3560</v>
      </c>
      <c r="AB832" s="3066" t="s">
        <v>3584</v>
      </c>
      <c r="AC832" s="3066" t="s">
        <v>3584</v>
      </c>
      <c r="AD832" s="3066" t="s">
        <v>3584</v>
      </c>
      <c r="AE832" s="3066" t="s">
        <v>3560</v>
      </c>
      <c r="AF832" s="3067">
        <v>1950</v>
      </c>
      <c r="AG832" s="3066">
        <v>1950</v>
      </c>
      <c r="AH832" s="3066">
        <v>156</v>
      </c>
      <c r="AI832" s="3066">
        <v>156</v>
      </c>
      <c r="AJ832" s="3066">
        <v>149.19</v>
      </c>
      <c r="AK832" s="3066">
        <v>149.19</v>
      </c>
      <c r="AL832" s="3066">
        <v>2255.19</v>
      </c>
      <c r="AM832" s="3066">
        <v>2255.19</v>
      </c>
      <c r="AN832" s="3066" t="s">
        <v>3560</v>
      </c>
      <c r="AP832" s="3068">
        <f t="shared" si="12"/>
        <v>25</v>
      </c>
    </row>
    <row r="833" spans="2:42" ht="27" customHeight="1">
      <c r="B833" s="3066">
        <v>841</v>
      </c>
      <c r="C833" s="3066" t="s">
        <v>6114</v>
      </c>
      <c r="D833" s="3066" t="s">
        <v>4019</v>
      </c>
      <c r="E833" s="3066" t="s">
        <v>6149</v>
      </c>
      <c r="F833" s="3066" t="s">
        <v>3917</v>
      </c>
      <c r="G833" s="3066" t="s">
        <v>1373</v>
      </c>
      <c r="H833" s="3066" t="s">
        <v>3560</v>
      </c>
      <c r="I833" s="3066" t="s">
        <v>3806</v>
      </c>
      <c r="J833" s="3066" t="s">
        <v>3807</v>
      </c>
      <c r="K833" s="3066" t="s">
        <v>3560</v>
      </c>
      <c r="L833" s="3066" t="s">
        <v>3808</v>
      </c>
      <c r="M833" s="3066" t="s">
        <v>6150</v>
      </c>
      <c r="N833" s="3066">
        <v>86</v>
      </c>
      <c r="O833" s="3066" t="s">
        <v>3619</v>
      </c>
      <c r="P833" s="3066" t="s">
        <v>3566</v>
      </c>
      <c r="Q833" s="3066">
        <v>1</v>
      </c>
      <c r="R833" s="3066">
        <v>2115</v>
      </c>
      <c r="S833" s="3066" t="s">
        <v>3567</v>
      </c>
      <c r="T833" s="3066">
        <v>26</v>
      </c>
      <c r="U833" s="3066">
        <v>2236</v>
      </c>
      <c r="V833" s="3066" t="s">
        <v>3560</v>
      </c>
      <c r="W833" s="3066" t="s">
        <v>3568</v>
      </c>
      <c r="X833" s="3066">
        <v>2</v>
      </c>
      <c r="Y833" s="3066">
        <v>2064</v>
      </c>
      <c r="Z833" s="3066" t="s">
        <v>3568</v>
      </c>
      <c r="AA833" s="3066" t="s">
        <v>3560</v>
      </c>
      <c r="AB833" s="3066" t="s">
        <v>3584</v>
      </c>
      <c r="AC833" s="3066" t="s">
        <v>3584</v>
      </c>
      <c r="AD833" s="3066" t="s">
        <v>3584</v>
      </c>
      <c r="AE833" s="3066" t="s">
        <v>3560</v>
      </c>
      <c r="AF833" s="3067">
        <v>2236</v>
      </c>
      <c r="AG833" s="3066">
        <v>2236</v>
      </c>
      <c r="AH833" s="3066">
        <v>172</v>
      </c>
      <c r="AI833" s="3066">
        <v>172</v>
      </c>
      <c r="AJ833" s="3066">
        <v>308.25</v>
      </c>
      <c r="AK833" s="3066">
        <v>308.25</v>
      </c>
      <c r="AL833" s="3066">
        <v>2716.25</v>
      </c>
      <c r="AM833" s="3066">
        <v>2716.25</v>
      </c>
      <c r="AN833" s="3066" t="s">
        <v>3560</v>
      </c>
      <c r="AP833" s="3068">
        <f t="shared" si="12"/>
        <v>26</v>
      </c>
    </row>
    <row r="834" spans="2:42" ht="27" customHeight="1">
      <c r="B834" s="3066">
        <v>842</v>
      </c>
      <c r="C834" s="3066" t="s">
        <v>6114</v>
      </c>
      <c r="D834" s="3066" t="s">
        <v>4019</v>
      </c>
      <c r="E834" s="3066" t="s">
        <v>6151</v>
      </c>
      <c r="F834" s="3066" t="s">
        <v>3917</v>
      </c>
      <c r="G834" s="3066" t="s">
        <v>1373</v>
      </c>
      <c r="H834" s="3066" t="s">
        <v>3560</v>
      </c>
      <c r="I834" s="3066" t="s">
        <v>5358</v>
      </c>
      <c r="J834" s="3066" t="s">
        <v>3560</v>
      </c>
      <c r="K834" s="3066" t="s">
        <v>3560</v>
      </c>
      <c r="L834" s="3066" t="s">
        <v>5359</v>
      </c>
      <c r="M834" s="3066" t="s">
        <v>6152</v>
      </c>
      <c r="N834" s="3066">
        <v>78</v>
      </c>
      <c r="O834" s="3066" t="s">
        <v>5211</v>
      </c>
      <c r="P834" s="3066" t="s">
        <v>3566</v>
      </c>
      <c r="Q834" s="3066">
        <v>1</v>
      </c>
      <c r="R834" s="3066">
        <v>6582</v>
      </c>
      <c r="S834" s="3066" t="s">
        <v>3567</v>
      </c>
      <c r="T834" s="3066">
        <v>26</v>
      </c>
      <c r="U834" s="3066">
        <v>2028</v>
      </c>
      <c r="V834" s="3066" t="s">
        <v>3560</v>
      </c>
      <c r="W834" s="3066" t="s">
        <v>3568</v>
      </c>
      <c r="X834" s="3066">
        <v>2.13</v>
      </c>
      <c r="Y834" s="3066">
        <v>1992</v>
      </c>
      <c r="Z834" s="3066" t="s">
        <v>3568</v>
      </c>
      <c r="AA834" s="3066" t="s">
        <v>3560</v>
      </c>
      <c r="AB834" s="3066" t="s">
        <v>3943</v>
      </c>
      <c r="AC834" s="3066" t="s">
        <v>3943</v>
      </c>
      <c r="AD834" s="3066" t="s">
        <v>3943</v>
      </c>
      <c r="AE834" s="3066" t="s">
        <v>3560</v>
      </c>
      <c r="AF834" s="3067">
        <v>2028</v>
      </c>
      <c r="AG834" s="3066">
        <v>2028</v>
      </c>
      <c r="AH834" s="3066">
        <v>166</v>
      </c>
      <c r="AI834" s="3066">
        <v>166</v>
      </c>
      <c r="AJ834" s="3066">
        <v>162.08000000000001</v>
      </c>
      <c r="AK834" s="3066">
        <v>162.08000000000001</v>
      </c>
      <c r="AL834" s="3066">
        <v>2356.08</v>
      </c>
      <c r="AM834" s="3066">
        <v>2356.08</v>
      </c>
      <c r="AN834" s="3066" t="s">
        <v>3560</v>
      </c>
      <c r="AP834" s="3068">
        <f t="shared" si="12"/>
        <v>26</v>
      </c>
    </row>
    <row r="835" spans="2:42" ht="27" customHeight="1">
      <c r="B835" s="3066">
        <v>843</v>
      </c>
      <c r="C835" s="3066" t="s">
        <v>6153</v>
      </c>
      <c r="D835" s="3066" t="s">
        <v>4053</v>
      </c>
      <c r="E835" s="3066" t="s">
        <v>6154</v>
      </c>
      <c r="F835" s="3066" t="s">
        <v>3917</v>
      </c>
      <c r="G835" s="3066" t="s">
        <v>1373</v>
      </c>
      <c r="H835" s="3066" t="s">
        <v>3560</v>
      </c>
      <c r="I835" s="3066" t="s">
        <v>6155</v>
      </c>
      <c r="J835" s="3066" t="s">
        <v>3560</v>
      </c>
      <c r="K835" s="3066" t="s">
        <v>3560</v>
      </c>
      <c r="L835" s="3066" t="s">
        <v>6156</v>
      </c>
      <c r="M835" s="3066" t="s">
        <v>6157</v>
      </c>
      <c r="N835" s="3066">
        <v>78</v>
      </c>
      <c r="O835" s="3066" t="s">
        <v>4488</v>
      </c>
      <c r="P835" s="3066" t="s">
        <v>3566</v>
      </c>
      <c r="Q835" s="3066">
        <v>1</v>
      </c>
      <c r="R835" s="3066">
        <v>6348</v>
      </c>
      <c r="S835" s="3066" t="s">
        <v>3567</v>
      </c>
      <c r="T835" s="3066">
        <v>25</v>
      </c>
      <c r="U835" s="3066">
        <v>1950</v>
      </c>
      <c r="V835" s="3066" t="s">
        <v>3560</v>
      </c>
      <c r="W835" s="3066" t="s">
        <v>3568</v>
      </c>
      <c r="X835" s="3066">
        <v>2.13</v>
      </c>
      <c r="Y835" s="3066">
        <v>1992</v>
      </c>
      <c r="Z835" s="3066" t="s">
        <v>3568</v>
      </c>
      <c r="AA835" s="3066" t="s">
        <v>3560</v>
      </c>
      <c r="AB835" s="3066" t="s">
        <v>4489</v>
      </c>
      <c r="AC835" s="3066" t="s">
        <v>4489</v>
      </c>
      <c r="AD835" s="3066" t="s">
        <v>4489</v>
      </c>
      <c r="AE835" s="3066" t="s">
        <v>3560</v>
      </c>
      <c r="AF835" s="3067">
        <v>860.06</v>
      </c>
      <c r="AG835" s="3066">
        <v>860.06</v>
      </c>
      <c r="AH835" s="3066">
        <v>0</v>
      </c>
      <c r="AI835" s="3066">
        <v>0</v>
      </c>
      <c r="AJ835" s="3066">
        <v>70.39</v>
      </c>
      <c r="AK835" s="3066">
        <v>70.39</v>
      </c>
      <c r="AL835" s="3066">
        <v>930.45</v>
      </c>
      <c r="AM835" s="3066">
        <v>930.45</v>
      </c>
      <c r="AN835" s="3066" t="s">
        <v>3560</v>
      </c>
      <c r="AP835" s="3068">
        <f t="shared" si="12"/>
        <v>11.026410256410255</v>
      </c>
    </row>
    <row r="836" spans="2:42" ht="27" customHeight="1">
      <c r="B836" s="3066">
        <v>844</v>
      </c>
      <c r="C836" s="3066" t="s">
        <v>6153</v>
      </c>
      <c r="D836" s="3066" t="s">
        <v>4053</v>
      </c>
      <c r="E836" s="3066" t="s">
        <v>6158</v>
      </c>
      <c r="F836" s="3066" t="s">
        <v>3917</v>
      </c>
      <c r="G836" s="3066" t="s">
        <v>1373</v>
      </c>
      <c r="H836" s="3066" t="s">
        <v>3560</v>
      </c>
      <c r="I836" s="3066" t="s">
        <v>6159</v>
      </c>
      <c r="J836" s="3066" t="s">
        <v>3560</v>
      </c>
      <c r="K836" s="3066" t="s">
        <v>3560</v>
      </c>
      <c r="L836" s="3066" t="s">
        <v>6160</v>
      </c>
      <c r="M836" s="3066" t="s">
        <v>6161</v>
      </c>
      <c r="N836" s="3066">
        <v>86</v>
      </c>
      <c r="O836" s="3066" t="s">
        <v>3919</v>
      </c>
      <c r="P836" s="3066" t="s">
        <v>3566</v>
      </c>
      <c r="Q836" s="3066">
        <v>1</v>
      </c>
      <c r="R836" s="3066">
        <v>7254</v>
      </c>
      <c r="S836" s="3066" t="s">
        <v>3567</v>
      </c>
      <c r="T836" s="3066">
        <v>25</v>
      </c>
      <c r="U836" s="3066">
        <v>2150</v>
      </c>
      <c r="V836" s="3066" t="s">
        <v>3560</v>
      </c>
      <c r="W836" s="3066" t="s">
        <v>3568</v>
      </c>
      <c r="X836" s="3066">
        <v>2.12</v>
      </c>
      <c r="Y836" s="3066">
        <v>2184</v>
      </c>
      <c r="Z836" s="3066" t="s">
        <v>3568</v>
      </c>
      <c r="AA836" s="3066" t="s">
        <v>3560</v>
      </c>
      <c r="AB836" s="3066" t="s">
        <v>3920</v>
      </c>
      <c r="AC836" s="3066" t="s">
        <v>3920</v>
      </c>
      <c r="AD836" s="3066" t="s">
        <v>3920</v>
      </c>
      <c r="AE836" s="3066" t="s">
        <v>3560</v>
      </c>
      <c r="AF836" s="3067">
        <v>2150</v>
      </c>
      <c r="AG836" s="3066">
        <v>2150</v>
      </c>
      <c r="AH836" s="3066">
        <v>182</v>
      </c>
      <c r="AI836" s="3066">
        <v>182</v>
      </c>
      <c r="AJ836" s="3066">
        <v>158.34</v>
      </c>
      <c r="AK836" s="3066">
        <v>158.34</v>
      </c>
      <c r="AL836" s="3066">
        <v>2490.34</v>
      </c>
      <c r="AM836" s="3066">
        <v>2490.34</v>
      </c>
      <c r="AN836" s="3066" t="s">
        <v>3560</v>
      </c>
      <c r="AP836" s="3068">
        <f t="shared" ref="AP836:AP899" si="13">AF836/N836</f>
        <v>25</v>
      </c>
    </row>
    <row r="837" spans="2:42" ht="27" customHeight="1">
      <c r="B837" s="3066">
        <v>845</v>
      </c>
      <c r="C837" s="3066" t="s">
        <v>6153</v>
      </c>
      <c r="D837" s="3066" t="s">
        <v>4053</v>
      </c>
      <c r="E837" s="3066" t="s">
        <v>6158</v>
      </c>
      <c r="F837" s="3066" t="s">
        <v>3917</v>
      </c>
      <c r="G837" s="3066" t="s">
        <v>1373</v>
      </c>
      <c r="H837" s="3066" t="s">
        <v>3560</v>
      </c>
      <c r="I837" s="3066" t="s">
        <v>6159</v>
      </c>
      <c r="J837" s="3066" t="s">
        <v>3560</v>
      </c>
      <c r="K837" s="3066" t="s">
        <v>3560</v>
      </c>
      <c r="L837" s="3066" t="s">
        <v>6160</v>
      </c>
      <c r="M837" s="3066" t="s">
        <v>6161</v>
      </c>
      <c r="N837" s="3066">
        <v>86</v>
      </c>
      <c r="O837" s="3066" t="s">
        <v>5230</v>
      </c>
      <c r="P837" s="3066" t="s">
        <v>4096</v>
      </c>
      <c r="Q837" s="3066">
        <v>1</v>
      </c>
      <c r="R837" s="3066">
        <v>7254</v>
      </c>
      <c r="S837" s="3066" t="s">
        <v>3567</v>
      </c>
      <c r="T837" s="3066">
        <v>26</v>
      </c>
      <c r="U837" s="3066">
        <v>2236</v>
      </c>
      <c r="V837" s="3066" t="s">
        <v>3560</v>
      </c>
      <c r="W837" s="3066" t="s">
        <v>3568</v>
      </c>
      <c r="X837" s="3066">
        <v>2.12</v>
      </c>
      <c r="Y837" s="3066">
        <v>2184</v>
      </c>
      <c r="Z837" s="3066" t="s">
        <v>3568</v>
      </c>
      <c r="AA837" s="3066" t="s">
        <v>3560</v>
      </c>
      <c r="AB837" s="3066" t="s">
        <v>4868</v>
      </c>
      <c r="AC837" s="3066" t="s">
        <v>4868</v>
      </c>
      <c r="AD837" s="3066" t="s">
        <v>4868</v>
      </c>
      <c r="AE837" s="3066" t="s">
        <v>3560</v>
      </c>
      <c r="AF837" s="3067">
        <v>2150</v>
      </c>
      <c r="AG837" s="3066">
        <v>2150</v>
      </c>
      <c r="AH837" s="3066">
        <v>182</v>
      </c>
      <c r="AI837" s="3066">
        <v>182</v>
      </c>
      <c r="AJ837" s="3066">
        <v>158.34</v>
      </c>
      <c r="AK837" s="3066">
        <v>158.34</v>
      </c>
      <c r="AL837" s="3066">
        <v>2490.34</v>
      </c>
      <c r="AM837" s="3066">
        <v>2490.34</v>
      </c>
      <c r="AN837" s="3066" t="s">
        <v>3560</v>
      </c>
      <c r="AP837" s="3068">
        <f t="shared" si="13"/>
        <v>25</v>
      </c>
    </row>
    <row r="838" spans="2:42" ht="27" customHeight="1">
      <c r="B838" s="3066">
        <v>846</v>
      </c>
      <c r="C838" s="3066" t="s">
        <v>6153</v>
      </c>
      <c r="D838" s="3066" t="s">
        <v>4053</v>
      </c>
      <c r="E838" s="3066" t="s">
        <v>6162</v>
      </c>
      <c r="F838" s="3066" t="s">
        <v>3917</v>
      </c>
      <c r="G838" s="3066" t="s">
        <v>3560</v>
      </c>
      <c r="H838" s="3066" t="s">
        <v>3560</v>
      </c>
      <c r="I838" s="3066" t="s">
        <v>6163</v>
      </c>
      <c r="J838" s="3066" t="s">
        <v>6163</v>
      </c>
      <c r="K838" s="3066" t="s">
        <v>3560</v>
      </c>
      <c r="L838" s="3066" t="s">
        <v>6164</v>
      </c>
      <c r="M838" s="3066" t="s">
        <v>6165</v>
      </c>
      <c r="N838" s="3066">
        <v>78</v>
      </c>
      <c r="O838" s="3066" t="s">
        <v>3676</v>
      </c>
      <c r="P838" s="3066" t="s">
        <v>3566</v>
      </c>
      <c r="Q838" s="3066">
        <v>1</v>
      </c>
      <c r="R838" s="3066">
        <v>6348</v>
      </c>
      <c r="S838" s="3066" t="s">
        <v>3567</v>
      </c>
      <c r="T838" s="3066">
        <v>25</v>
      </c>
      <c r="U838" s="3066">
        <v>1950</v>
      </c>
      <c r="V838" s="3066" t="s">
        <v>3560</v>
      </c>
      <c r="W838" s="3066" t="s">
        <v>3568</v>
      </c>
      <c r="X838" s="3066">
        <v>2.13</v>
      </c>
      <c r="Y838" s="3066">
        <v>1992</v>
      </c>
      <c r="Z838" s="3066" t="s">
        <v>3568</v>
      </c>
      <c r="AA838" s="3066" t="s">
        <v>3560</v>
      </c>
      <c r="AB838" s="3066" t="s">
        <v>3677</v>
      </c>
      <c r="AC838" s="3066" t="s">
        <v>3677</v>
      </c>
      <c r="AD838" s="3066" t="s">
        <v>3677</v>
      </c>
      <c r="AE838" s="3066" t="s">
        <v>3560</v>
      </c>
      <c r="AF838" s="3067">
        <v>1950</v>
      </c>
      <c r="AG838" s="3066">
        <v>1950</v>
      </c>
      <c r="AH838" s="3066">
        <v>166</v>
      </c>
      <c r="AI838" s="3066">
        <v>166</v>
      </c>
      <c r="AJ838" s="3066">
        <v>242.7</v>
      </c>
      <c r="AK838" s="3066">
        <v>242.7</v>
      </c>
      <c r="AL838" s="3066">
        <v>2358.6999999999998</v>
      </c>
      <c r="AM838" s="3066">
        <v>2358.6999999999998</v>
      </c>
      <c r="AN838" s="3066" t="s">
        <v>3560</v>
      </c>
      <c r="AP838" s="3068">
        <f t="shared" si="13"/>
        <v>25</v>
      </c>
    </row>
    <row r="839" spans="2:42" ht="27" customHeight="1">
      <c r="B839" s="3066">
        <v>847</v>
      </c>
      <c r="C839" s="3066" t="s">
        <v>6153</v>
      </c>
      <c r="D839" s="3066" t="s">
        <v>4053</v>
      </c>
      <c r="E839" s="3066" t="s">
        <v>6166</v>
      </c>
      <c r="F839" s="3066" t="s">
        <v>3917</v>
      </c>
      <c r="G839" s="3066" t="s">
        <v>1373</v>
      </c>
      <c r="H839" s="3066" t="s">
        <v>3560</v>
      </c>
      <c r="I839" s="3066" t="s">
        <v>4513</v>
      </c>
      <c r="J839" s="3066" t="s">
        <v>3560</v>
      </c>
      <c r="K839" s="3066" t="s">
        <v>3560</v>
      </c>
      <c r="L839" s="3066" t="s">
        <v>4514</v>
      </c>
      <c r="M839" s="3066" t="s">
        <v>6167</v>
      </c>
      <c r="N839" s="3066">
        <v>86</v>
      </c>
      <c r="O839" s="3066" t="s">
        <v>3950</v>
      </c>
      <c r="P839" s="3066" t="s">
        <v>3566</v>
      </c>
      <c r="Q839" s="3066">
        <v>1</v>
      </c>
      <c r="R839" s="3066">
        <v>2661</v>
      </c>
      <c r="S839" s="3066" t="s">
        <v>3567</v>
      </c>
      <c r="T839" s="3066">
        <v>26</v>
      </c>
      <c r="U839" s="3066">
        <v>2236</v>
      </c>
      <c r="V839" s="3066" t="s">
        <v>3560</v>
      </c>
      <c r="W839" s="3066" t="s">
        <v>3568</v>
      </c>
      <c r="X839" s="3066">
        <v>2.12</v>
      </c>
      <c r="Y839" s="3066">
        <v>2184</v>
      </c>
      <c r="Z839" s="3066" t="s">
        <v>3568</v>
      </c>
      <c r="AA839" s="3066" t="s">
        <v>3560</v>
      </c>
      <c r="AB839" s="3066" t="s">
        <v>3951</v>
      </c>
      <c r="AC839" s="3066" t="s">
        <v>3951</v>
      </c>
      <c r="AD839" s="3066" t="s">
        <v>3951</v>
      </c>
      <c r="AE839" s="3066" t="s">
        <v>3560</v>
      </c>
      <c r="AF839" s="3067">
        <v>2236</v>
      </c>
      <c r="AG839" s="3066">
        <v>2236</v>
      </c>
      <c r="AH839" s="3066">
        <v>182</v>
      </c>
      <c r="AI839" s="3066">
        <v>182</v>
      </c>
      <c r="AJ839" s="3066">
        <v>179.84</v>
      </c>
      <c r="AK839" s="3066">
        <v>179.84</v>
      </c>
      <c r="AL839" s="3066">
        <v>2597.84</v>
      </c>
      <c r="AM839" s="3066">
        <v>2597.84</v>
      </c>
      <c r="AN839" s="3066" t="s">
        <v>3560</v>
      </c>
      <c r="AP839" s="3068">
        <f t="shared" si="13"/>
        <v>26</v>
      </c>
    </row>
    <row r="840" spans="2:42" ht="27" customHeight="1">
      <c r="B840" s="3066">
        <v>848</v>
      </c>
      <c r="C840" s="3066" t="s">
        <v>6153</v>
      </c>
      <c r="D840" s="3066" t="s">
        <v>4053</v>
      </c>
      <c r="E840" s="3066" t="s">
        <v>6168</v>
      </c>
      <c r="F840" s="3066" t="s">
        <v>3917</v>
      </c>
      <c r="G840" s="3066" t="s">
        <v>1373</v>
      </c>
      <c r="H840" s="3066" t="s">
        <v>3560</v>
      </c>
      <c r="I840" s="3066" t="s">
        <v>6169</v>
      </c>
      <c r="J840" s="3066" t="s">
        <v>3560</v>
      </c>
      <c r="K840" s="3066" t="s">
        <v>3560</v>
      </c>
      <c r="L840" s="3066" t="s">
        <v>6170</v>
      </c>
      <c r="M840" s="3066" t="s">
        <v>6171</v>
      </c>
      <c r="N840" s="3066">
        <v>78</v>
      </c>
      <c r="O840" s="3066" t="s">
        <v>3619</v>
      </c>
      <c r="P840" s="3066" t="s">
        <v>3566</v>
      </c>
      <c r="Q840" s="3066">
        <v>1</v>
      </c>
      <c r="R840" s="3066">
        <v>6348</v>
      </c>
      <c r="S840" s="3066" t="s">
        <v>3567</v>
      </c>
      <c r="T840" s="3066">
        <v>25</v>
      </c>
      <c r="U840" s="3066">
        <v>1950</v>
      </c>
      <c r="V840" s="3066" t="s">
        <v>3560</v>
      </c>
      <c r="W840" s="3066" t="s">
        <v>3568</v>
      </c>
      <c r="X840" s="3066">
        <v>2.13</v>
      </c>
      <c r="Y840" s="3066">
        <v>1992</v>
      </c>
      <c r="Z840" s="3066" t="s">
        <v>3568</v>
      </c>
      <c r="AA840" s="3066" t="s">
        <v>3560</v>
      </c>
      <c r="AB840" s="3066" t="s">
        <v>3584</v>
      </c>
      <c r="AC840" s="3066" t="s">
        <v>3584</v>
      </c>
      <c r="AD840" s="3066" t="s">
        <v>3584</v>
      </c>
      <c r="AE840" s="3066" t="s">
        <v>3560</v>
      </c>
      <c r="AF840" s="3067">
        <v>1950</v>
      </c>
      <c r="AG840" s="3066">
        <v>1950</v>
      </c>
      <c r="AH840" s="3066">
        <v>166</v>
      </c>
      <c r="AI840" s="3066">
        <v>166</v>
      </c>
      <c r="AJ840" s="3066">
        <v>98.85</v>
      </c>
      <c r="AK840" s="3066">
        <v>98.85</v>
      </c>
      <c r="AL840" s="3066">
        <v>2214.85</v>
      </c>
      <c r="AM840" s="3066">
        <v>2214.85</v>
      </c>
      <c r="AN840" s="3066" t="s">
        <v>3560</v>
      </c>
      <c r="AP840" s="3068">
        <f t="shared" si="13"/>
        <v>25</v>
      </c>
    </row>
    <row r="841" spans="2:42" ht="27" customHeight="1">
      <c r="B841" s="3066">
        <v>849</v>
      </c>
      <c r="C841" s="3066" t="s">
        <v>6153</v>
      </c>
      <c r="D841" s="3066" t="s">
        <v>4053</v>
      </c>
      <c r="E841" s="3066" t="s">
        <v>6172</v>
      </c>
      <c r="F841" s="3066" t="s">
        <v>3917</v>
      </c>
      <c r="G841" s="3066" t="s">
        <v>1373</v>
      </c>
      <c r="H841" s="3066" t="s">
        <v>3560</v>
      </c>
      <c r="I841" s="3066" t="s">
        <v>3694</v>
      </c>
      <c r="J841" s="3066" t="s">
        <v>3695</v>
      </c>
      <c r="K841" s="3066" t="s">
        <v>3560</v>
      </c>
      <c r="L841" s="3066" t="s">
        <v>3696</v>
      </c>
      <c r="M841" s="3066" t="s">
        <v>6173</v>
      </c>
      <c r="N841" s="3066">
        <v>86</v>
      </c>
      <c r="O841" s="3066" t="s">
        <v>6174</v>
      </c>
      <c r="P841" s="3066" t="s">
        <v>3566</v>
      </c>
      <c r="Q841" s="3066">
        <v>1</v>
      </c>
      <c r="R841" s="3066">
        <v>6966</v>
      </c>
      <c r="S841" s="3066" t="s">
        <v>3567</v>
      </c>
      <c r="T841" s="3066">
        <v>25</v>
      </c>
      <c r="U841" s="3066">
        <v>2150</v>
      </c>
      <c r="V841" s="3066" t="s">
        <v>3560</v>
      </c>
      <c r="W841" s="3066" t="s">
        <v>3568</v>
      </c>
      <c r="X841" s="3066">
        <v>2</v>
      </c>
      <c r="Y841" s="3066">
        <v>2064</v>
      </c>
      <c r="Z841" s="3066" t="s">
        <v>3568</v>
      </c>
      <c r="AA841" s="3066" t="s">
        <v>3560</v>
      </c>
      <c r="AB841" s="3066" t="s">
        <v>6175</v>
      </c>
      <c r="AC841" s="3066" t="s">
        <v>6175</v>
      </c>
      <c r="AD841" s="3066" t="s">
        <v>6175</v>
      </c>
      <c r="AE841" s="3066" t="s">
        <v>3560</v>
      </c>
      <c r="AF841" s="3067">
        <v>2150</v>
      </c>
      <c r="AG841" s="3066">
        <v>2150</v>
      </c>
      <c r="AH841" s="3066">
        <v>172</v>
      </c>
      <c r="AI841" s="3066">
        <v>172</v>
      </c>
      <c r="AJ841" s="3066">
        <v>201.12</v>
      </c>
      <c r="AK841" s="3066">
        <v>201.12</v>
      </c>
      <c r="AL841" s="3066">
        <v>2523.12</v>
      </c>
      <c r="AM841" s="3066">
        <v>2523.12</v>
      </c>
      <c r="AN841" s="3066" t="s">
        <v>3560</v>
      </c>
      <c r="AP841" s="3068">
        <f t="shared" si="13"/>
        <v>25</v>
      </c>
    </row>
    <row r="842" spans="2:42" ht="27" customHeight="1">
      <c r="B842" s="3066">
        <v>850</v>
      </c>
      <c r="C842" s="3066" t="s">
        <v>6153</v>
      </c>
      <c r="D842" s="3066" t="s">
        <v>4053</v>
      </c>
      <c r="E842" s="3066" t="s">
        <v>6176</v>
      </c>
      <c r="F842" s="3066" t="s">
        <v>3917</v>
      </c>
      <c r="G842" s="3066" t="s">
        <v>1373</v>
      </c>
      <c r="H842" s="3066" t="s">
        <v>3560</v>
      </c>
      <c r="I842" s="3066" t="s">
        <v>6177</v>
      </c>
      <c r="J842" s="3066" t="s">
        <v>6178</v>
      </c>
      <c r="K842" s="3066" t="s">
        <v>3560</v>
      </c>
      <c r="L842" s="3066" t="s">
        <v>6179</v>
      </c>
      <c r="M842" s="3066" t="s">
        <v>6180</v>
      </c>
      <c r="N842" s="3066">
        <v>78</v>
      </c>
      <c r="O842" s="3066" t="s">
        <v>3619</v>
      </c>
      <c r="P842" s="3066" t="s">
        <v>3566</v>
      </c>
      <c r="Q842" s="3066">
        <v>1</v>
      </c>
      <c r="R842" s="3066">
        <v>1238</v>
      </c>
      <c r="S842" s="3066" t="s">
        <v>3567</v>
      </c>
      <c r="T842" s="3066">
        <v>26</v>
      </c>
      <c r="U842" s="3066">
        <v>2028</v>
      </c>
      <c r="V842" s="3066" t="s">
        <v>3560</v>
      </c>
      <c r="W842" s="3066" t="s">
        <v>3568</v>
      </c>
      <c r="X842" s="3066">
        <v>2</v>
      </c>
      <c r="Y842" s="3066">
        <v>1872</v>
      </c>
      <c r="Z842" s="3066" t="s">
        <v>3568</v>
      </c>
      <c r="AA842" s="3066" t="s">
        <v>3560</v>
      </c>
      <c r="AB842" s="3066" t="s">
        <v>3584</v>
      </c>
      <c r="AC842" s="3066" t="s">
        <v>3584</v>
      </c>
      <c r="AD842" s="3066" t="s">
        <v>3584</v>
      </c>
      <c r="AE842" s="3066" t="s">
        <v>3560</v>
      </c>
      <c r="AF842" s="3067">
        <v>2028</v>
      </c>
      <c r="AG842" s="3066">
        <v>0</v>
      </c>
      <c r="AH842" s="3066">
        <v>156</v>
      </c>
      <c r="AI842" s="3066">
        <v>0</v>
      </c>
      <c r="AJ842" s="3066">
        <v>156.66999999999999</v>
      </c>
      <c r="AK842" s="3066">
        <v>0</v>
      </c>
      <c r="AL842" s="3066">
        <v>2340.67</v>
      </c>
      <c r="AM842" s="3066">
        <v>0</v>
      </c>
      <c r="AN842" s="3066" t="s">
        <v>3560</v>
      </c>
      <c r="AP842" s="3068">
        <f t="shared" si="13"/>
        <v>26</v>
      </c>
    </row>
    <row r="843" spans="2:42" ht="27" customHeight="1">
      <c r="B843" s="3066">
        <v>851</v>
      </c>
      <c r="C843" s="3066" t="s">
        <v>6153</v>
      </c>
      <c r="D843" s="3066" t="s">
        <v>4053</v>
      </c>
      <c r="E843" s="3066" t="s">
        <v>6181</v>
      </c>
      <c r="F843" s="3066" t="s">
        <v>3917</v>
      </c>
      <c r="G843" s="3066" t="s">
        <v>3560</v>
      </c>
      <c r="H843" s="3066" t="s">
        <v>3560</v>
      </c>
      <c r="I843" s="3066" t="s">
        <v>6182</v>
      </c>
      <c r="J843" s="3066" t="s">
        <v>6182</v>
      </c>
      <c r="K843" s="3066" t="s">
        <v>3560</v>
      </c>
      <c r="L843" s="3066" t="s">
        <v>6183</v>
      </c>
      <c r="M843" s="3066" t="s">
        <v>6184</v>
      </c>
      <c r="N843" s="3066">
        <v>86</v>
      </c>
      <c r="O843" s="3066" t="s">
        <v>3950</v>
      </c>
      <c r="P843" s="3066" t="s">
        <v>3566</v>
      </c>
      <c r="Q843" s="3066">
        <v>1</v>
      </c>
      <c r="R843" s="3066">
        <v>11660</v>
      </c>
      <c r="S843" s="3066" t="s">
        <v>3567</v>
      </c>
      <c r="T843" s="3066">
        <v>26</v>
      </c>
      <c r="U843" s="3066">
        <v>2236</v>
      </c>
      <c r="V843" s="3066" t="s">
        <v>3560</v>
      </c>
      <c r="W843" s="3066" t="s">
        <v>3568</v>
      </c>
      <c r="X843" s="3066">
        <v>2.12</v>
      </c>
      <c r="Y843" s="3066">
        <v>2184</v>
      </c>
      <c r="Z843" s="3066" t="s">
        <v>3568</v>
      </c>
      <c r="AA843" s="3066" t="s">
        <v>3560</v>
      </c>
      <c r="AB843" s="3066" t="s">
        <v>3951</v>
      </c>
      <c r="AC843" s="3066" t="s">
        <v>3951</v>
      </c>
      <c r="AD843" s="3066" t="s">
        <v>3951</v>
      </c>
      <c r="AE843" s="3066" t="s">
        <v>3560</v>
      </c>
      <c r="AF843" s="3067">
        <v>2236</v>
      </c>
      <c r="AG843" s="3066">
        <v>0</v>
      </c>
      <c r="AH843" s="3066">
        <v>182</v>
      </c>
      <c r="AI843" s="3066">
        <v>0</v>
      </c>
      <c r="AJ843" s="3066">
        <v>202.28</v>
      </c>
      <c r="AK843" s="3066">
        <v>0</v>
      </c>
      <c r="AL843" s="3066">
        <v>2620.2800000000002</v>
      </c>
      <c r="AM843" s="3066">
        <v>0</v>
      </c>
      <c r="AN843" s="3066" t="s">
        <v>3560</v>
      </c>
      <c r="AP843" s="3068">
        <f t="shared" si="13"/>
        <v>26</v>
      </c>
    </row>
    <row r="844" spans="2:42" ht="27" customHeight="1">
      <c r="B844" s="3066">
        <v>852</v>
      </c>
      <c r="C844" s="3066" t="s">
        <v>6153</v>
      </c>
      <c r="D844" s="3066" t="s">
        <v>4053</v>
      </c>
      <c r="E844" s="3066" t="s">
        <v>6185</v>
      </c>
      <c r="F844" s="3066" t="s">
        <v>3917</v>
      </c>
      <c r="G844" s="3066" t="s">
        <v>1373</v>
      </c>
      <c r="H844" s="3066" t="s">
        <v>3560</v>
      </c>
      <c r="I844" s="3066" t="s">
        <v>5856</v>
      </c>
      <c r="J844" s="3066" t="s">
        <v>3560</v>
      </c>
      <c r="K844" s="3066" t="s">
        <v>3560</v>
      </c>
      <c r="L844" s="3066" t="s">
        <v>5857</v>
      </c>
      <c r="M844" s="3066" t="s">
        <v>6186</v>
      </c>
      <c r="N844" s="3066">
        <v>78</v>
      </c>
      <c r="O844" s="3066" t="s">
        <v>4008</v>
      </c>
      <c r="P844" s="3066" t="s">
        <v>3566</v>
      </c>
      <c r="Q844" s="3066">
        <v>1</v>
      </c>
      <c r="R844" s="3066">
        <v>6348</v>
      </c>
      <c r="S844" s="3066" t="s">
        <v>3567</v>
      </c>
      <c r="T844" s="3066">
        <v>25</v>
      </c>
      <c r="U844" s="3066">
        <v>1950</v>
      </c>
      <c r="V844" s="3066" t="s">
        <v>3560</v>
      </c>
      <c r="W844" s="3066" t="s">
        <v>3568</v>
      </c>
      <c r="X844" s="3066">
        <v>2.13</v>
      </c>
      <c r="Y844" s="3066">
        <v>1992</v>
      </c>
      <c r="Z844" s="3066" t="s">
        <v>3568</v>
      </c>
      <c r="AA844" s="3066" t="s">
        <v>3560</v>
      </c>
      <c r="AB844" s="3066" t="s">
        <v>3692</v>
      </c>
      <c r="AC844" s="3066" t="s">
        <v>3692</v>
      </c>
      <c r="AD844" s="3066" t="s">
        <v>3692</v>
      </c>
      <c r="AE844" s="3066" t="s">
        <v>3560</v>
      </c>
      <c r="AF844" s="3067">
        <v>1950</v>
      </c>
      <c r="AG844" s="3066">
        <v>1950</v>
      </c>
      <c r="AH844" s="3066">
        <v>166</v>
      </c>
      <c r="AI844" s="3066">
        <v>166</v>
      </c>
      <c r="AJ844" s="3066">
        <v>122.9</v>
      </c>
      <c r="AK844" s="3066">
        <v>122.9</v>
      </c>
      <c r="AL844" s="3066">
        <v>2238.9</v>
      </c>
      <c r="AM844" s="3066">
        <v>2238.9</v>
      </c>
      <c r="AN844" s="3066" t="s">
        <v>3560</v>
      </c>
      <c r="AP844" s="3068">
        <f t="shared" si="13"/>
        <v>25</v>
      </c>
    </row>
    <row r="845" spans="2:42" ht="27" customHeight="1">
      <c r="B845" s="3066">
        <v>853</v>
      </c>
      <c r="C845" s="3066" t="s">
        <v>6153</v>
      </c>
      <c r="D845" s="3066" t="s">
        <v>4053</v>
      </c>
      <c r="E845" s="3066" t="s">
        <v>6187</v>
      </c>
      <c r="F845" s="3066" t="s">
        <v>3917</v>
      </c>
      <c r="G845" s="3066" t="s">
        <v>1373</v>
      </c>
      <c r="H845" s="3066" t="s">
        <v>3560</v>
      </c>
      <c r="I845" s="3066" t="s">
        <v>3827</v>
      </c>
      <c r="J845" s="3066" t="s">
        <v>3828</v>
      </c>
      <c r="K845" s="3066" t="s">
        <v>3560</v>
      </c>
      <c r="L845" s="3066" t="s">
        <v>3829</v>
      </c>
      <c r="M845" s="3066" t="s">
        <v>6188</v>
      </c>
      <c r="N845" s="3066">
        <v>86</v>
      </c>
      <c r="O845" s="3066" t="s">
        <v>3619</v>
      </c>
      <c r="P845" s="3066" t="s">
        <v>3566</v>
      </c>
      <c r="Q845" s="3066">
        <v>1</v>
      </c>
      <c r="R845" s="3066">
        <v>5571</v>
      </c>
      <c r="S845" s="3066" t="s">
        <v>3567</v>
      </c>
      <c r="T845" s="3066">
        <v>25</v>
      </c>
      <c r="U845" s="3066">
        <v>2150</v>
      </c>
      <c r="V845" s="3066" t="s">
        <v>3560</v>
      </c>
      <c r="W845" s="3066" t="s">
        <v>3568</v>
      </c>
      <c r="X845" s="3066">
        <v>2</v>
      </c>
      <c r="Y845" s="3066">
        <v>2064</v>
      </c>
      <c r="Z845" s="3066" t="s">
        <v>3568</v>
      </c>
      <c r="AA845" s="3066" t="s">
        <v>3560</v>
      </c>
      <c r="AB845" s="3066" t="s">
        <v>3584</v>
      </c>
      <c r="AC845" s="3066" t="s">
        <v>3584</v>
      </c>
      <c r="AD845" s="3066" t="s">
        <v>3584</v>
      </c>
      <c r="AE845" s="3066" t="s">
        <v>3560</v>
      </c>
      <c r="AF845" s="3067">
        <v>2150</v>
      </c>
      <c r="AG845" s="3066">
        <v>2150</v>
      </c>
      <c r="AH845" s="3066">
        <v>172</v>
      </c>
      <c r="AI845" s="3066">
        <v>172</v>
      </c>
      <c r="AJ845" s="3066">
        <v>261.25</v>
      </c>
      <c r="AK845" s="3066">
        <v>261.25</v>
      </c>
      <c r="AL845" s="3066">
        <v>2583.25</v>
      </c>
      <c r="AM845" s="3066">
        <v>2583.25</v>
      </c>
      <c r="AN845" s="3066" t="s">
        <v>3560</v>
      </c>
      <c r="AP845" s="3068">
        <f t="shared" si="13"/>
        <v>25</v>
      </c>
    </row>
    <row r="846" spans="2:42" ht="27" customHeight="1">
      <c r="B846" s="3066">
        <v>854</v>
      </c>
      <c r="C846" s="3066" t="s">
        <v>6153</v>
      </c>
      <c r="D846" s="3066" t="s">
        <v>4053</v>
      </c>
      <c r="E846" s="3066" t="s">
        <v>6189</v>
      </c>
      <c r="F846" s="3066" t="s">
        <v>3917</v>
      </c>
      <c r="G846" s="3066" t="s">
        <v>1373</v>
      </c>
      <c r="H846" s="3066" t="s">
        <v>3560</v>
      </c>
      <c r="I846" s="3066" t="s">
        <v>6190</v>
      </c>
      <c r="J846" s="3066" t="s">
        <v>3560</v>
      </c>
      <c r="K846" s="3066" t="s">
        <v>3560</v>
      </c>
      <c r="L846" s="3066" t="s">
        <v>6191</v>
      </c>
      <c r="M846" s="3066" t="s">
        <v>6192</v>
      </c>
      <c r="N846" s="3066">
        <v>78</v>
      </c>
      <c r="O846" s="3066" t="s">
        <v>4488</v>
      </c>
      <c r="P846" s="3066" t="s">
        <v>3566</v>
      </c>
      <c r="Q846" s="3066">
        <v>1</v>
      </c>
      <c r="R846" s="3066">
        <v>6348</v>
      </c>
      <c r="S846" s="3066" t="s">
        <v>3567</v>
      </c>
      <c r="T846" s="3066">
        <v>25</v>
      </c>
      <c r="U846" s="3066">
        <v>1950</v>
      </c>
      <c r="V846" s="3066" t="s">
        <v>3560</v>
      </c>
      <c r="W846" s="3066" t="s">
        <v>3568</v>
      </c>
      <c r="X846" s="3066">
        <v>2.13</v>
      </c>
      <c r="Y846" s="3066">
        <v>1992</v>
      </c>
      <c r="Z846" s="3066" t="s">
        <v>3568</v>
      </c>
      <c r="AA846" s="3066" t="s">
        <v>3560</v>
      </c>
      <c r="AB846" s="3066" t="s">
        <v>4489</v>
      </c>
      <c r="AC846" s="3066" t="s">
        <v>4489</v>
      </c>
      <c r="AD846" s="3066" t="s">
        <v>4489</v>
      </c>
      <c r="AE846" s="3066" t="s">
        <v>3560</v>
      </c>
      <c r="AF846" s="3067">
        <v>1950</v>
      </c>
      <c r="AG846" s="3066">
        <v>0</v>
      </c>
      <c r="AH846" s="3066">
        <v>166</v>
      </c>
      <c r="AI846" s="3066">
        <v>0</v>
      </c>
      <c r="AJ846" s="3066">
        <v>104.03</v>
      </c>
      <c r="AK846" s="3066">
        <v>0</v>
      </c>
      <c r="AL846" s="3066">
        <v>2220.0300000000002</v>
      </c>
      <c r="AM846" s="3066">
        <v>0</v>
      </c>
      <c r="AN846" s="3066" t="s">
        <v>3560</v>
      </c>
      <c r="AP846" s="3068">
        <f t="shared" si="13"/>
        <v>25</v>
      </c>
    </row>
    <row r="847" spans="2:42" ht="27" customHeight="1">
      <c r="B847" s="3066">
        <v>855</v>
      </c>
      <c r="C847" s="3066" t="s">
        <v>6153</v>
      </c>
      <c r="D847" s="3066" t="s">
        <v>4053</v>
      </c>
      <c r="E847" s="3066" t="s">
        <v>6193</v>
      </c>
      <c r="F847" s="3066" t="s">
        <v>3917</v>
      </c>
      <c r="G847" s="3066" t="s">
        <v>1373</v>
      </c>
      <c r="H847" s="3066" t="s">
        <v>3560</v>
      </c>
      <c r="I847" s="3066" t="s">
        <v>3759</v>
      </c>
      <c r="J847" s="3066" t="s">
        <v>3760</v>
      </c>
      <c r="K847" s="3066" t="s">
        <v>3560</v>
      </c>
      <c r="L847" s="3066" t="s">
        <v>3761</v>
      </c>
      <c r="M847" s="3066" t="s">
        <v>6194</v>
      </c>
      <c r="N847" s="3066">
        <v>86</v>
      </c>
      <c r="O847" s="3066" t="s">
        <v>4516</v>
      </c>
      <c r="P847" s="3066" t="s">
        <v>3566</v>
      </c>
      <c r="Q847" s="3066">
        <v>0</v>
      </c>
      <c r="R847" s="3066">
        <v>2889</v>
      </c>
      <c r="S847" s="3066" t="s">
        <v>3567</v>
      </c>
      <c r="T847" s="3066">
        <v>25</v>
      </c>
      <c r="U847" s="3066">
        <v>2150</v>
      </c>
      <c r="V847" s="3066" t="s">
        <v>3560</v>
      </c>
      <c r="W847" s="3066" t="s">
        <v>3568</v>
      </c>
      <c r="X847" s="3066">
        <v>2</v>
      </c>
      <c r="Y847" s="3066">
        <v>2064</v>
      </c>
      <c r="Z847" s="3066" t="s">
        <v>3568</v>
      </c>
      <c r="AA847" s="3066" t="s">
        <v>3560</v>
      </c>
      <c r="AB847" s="3066" t="s">
        <v>3584</v>
      </c>
      <c r="AC847" s="3066" t="s">
        <v>3584</v>
      </c>
      <c r="AD847" s="3066" t="s">
        <v>3584</v>
      </c>
      <c r="AE847" s="3066" t="s">
        <v>3560</v>
      </c>
      <c r="AF847" s="3067">
        <v>2150</v>
      </c>
      <c r="AG847" s="3066">
        <v>0</v>
      </c>
      <c r="AH847" s="3066">
        <v>172</v>
      </c>
      <c r="AI847" s="3066">
        <v>0</v>
      </c>
      <c r="AJ847" s="3066">
        <v>188.56</v>
      </c>
      <c r="AK847" s="3066">
        <v>0</v>
      </c>
      <c r="AL847" s="3066">
        <v>2510.56</v>
      </c>
      <c r="AM847" s="3066">
        <v>0</v>
      </c>
      <c r="AN847" s="3066" t="s">
        <v>3560</v>
      </c>
      <c r="AP847" s="3068">
        <f t="shared" si="13"/>
        <v>25</v>
      </c>
    </row>
    <row r="848" spans="2:42" ht="27" customHeight="1">
      <c r="B848" s="3066">
        <v>856</v>
      </c>
      <c r="C848" s="3066" t="s">
        <v>6195</v>
      </c>
      <c r="D848" s="3066" t="s">
        <v>4019</v>
      </c>
      <c r="E848" s="3066" t="s">
        <v>6196</v>
      </c>
      <c r="F848" s="3066" t="s">
        <v>3917</v>
      </c>
      <c r="G848" s="3066" t="s">
        <v>1373</v>
      </c>
      <c r="H848" s="3066" t="s">
        <v>3560</v>
      </c>
      <c r="I848" s="3066" t="s">
        <v>6197</v>
      </c>
      <c r="J848" s="3066" t="s">
        <v>3560</v>
      </c>
      <c r="K848" s="3066" t="s">
        <v>3560</v>
      </c>
      <c r="L848" s="3066" t="s">
        <v>6198</v>
      </c>
      <c r="M848" s="3066" t="s">
        <v>6199</v>
      </c>
      <c r="N848" s="3066">
        <v>40.200000000000003</v>
      </c>
      <c r="O848" s="3066" t="s">
        <v>3619</v>
      </c>
      <c r="P848" s="3066" t="s">
        <v>3566</v>
      </c>
      <c r="Q848" s="3066">
        <v>1</v>
      </c>
      <c r="R848" s="3066">
        <v>13416</v>
      </c>
      <c r="S848" s="3066" t="s">
        <v>3567</v>
      </c>
      <c r="T848" s="3066">
        <v>21</v>
      </c>
      <c r="U848" s="3066">
        <v>844.2</v>
      </c>
      <c r="V848" s="3066" t="s">
        <v>3560</v>
      </c>
      <c r="W848" s="3066" t="s">
        <v>3568</v>
      </c>
      <c r="X848" s="3066">
        <v>2.25</v>
      </c>
      <c r="Y848" s="3066">
        <v>1084.8</v>
      </c>
      <c r="Z848" s="3066" t="s">
        <v>3568</v>
      </c>
      <c r="AA848" s="3066" t="s">
        <v>3560</v>
      </c>
      <c r="AB848" s="3066" t="s">
        <v>3584</v>
      </c>
      <c r="AC848" s="3066" t="s">
        <v>3584</v>
      </c>
      <c r="AD848" s="3066" t="s">
        <v>3584</v>
      </c>
      <c r="AE848" s="3066" t="s">
        <v>3560</v>
      </c>
      <c r="AF848" s="3067">
        <v>844.2</v>
      </c>
      <c r="AG848" s="3066">
        <v>844.2</v>
      </c>
      <c r="AH848" s="3066">
        <v>90.4</v>
      </c>
      <c r="AI848" s="3066">
        <v>90.4</v>
      </c>
      <c r="AJ848" s="3066">
        <v>249.34</v>
      </c>
      <c r="AK848" s="3066">
        <v>249.34</v>
      </c>
      <c r="AL848" s="3066">
        <v>1183.94</v>
      </c>
      <c r="AM848" s="3066">
        <v>1183.94</v>
      </c>
      <c r="AN848" s="3066" t="s">
        <v>3560</v>
      </c>
      <c r="AP848" s="3068">
        <f t="shared" si="13"/>
        <v>21</v>
      </c>
    </row>
    <row r="849" spans="2:42" ht="27" customHeight="1">
      <c r="B849" s="3066">
        <v>857</v>
      </c>
      <c r="C849" s="3066" t="s">
        <v>6195</v>
      </c>
      <c r="D849" s="3066" t="s">
        <v>4019</v>
      </c>
      <c r="E849" s="3066" t="s">
        <v>6200</v>
      </c>
      <c r="F849" s="3066" t="s">
        <v>3917</v>
      </c>
      <c r="G849" s="3066" t="s">
        <v>1373</v>
      </c>
      <c r="H849" s="3066" t="s">
        <v>3560</v>
      </c>
      <c r="I849" s="3066" t="s">
        <v>6197</v>
      </c>
      <c r="J849" s="3066" t="s">
        <v>3560</v>
      </c>
      <c r="K849" s="3066" t="s">
        <v>3560</v>
      </c>
      <c r="L849" s="3066" t="s">
        <v>6198</v>
      </c>
      <c r="M849" s="3066" t="s">
        <v>6201</v>
      </c>
      <c r="N849" s="3066">
        <v>40.200000000000003</v>
      </c>
      <c r="O849" s="3066" t="s">
        <v>3619</v>
      </c>
      <c r="P849" s="3066" t="s">
        <v>3566</v>
      </c>
      <c r="Q849" s="3066">
        <v>1</v>
      </c>
      <c r="R849" s="3066">
        <v>0</v>
      </c>
      <c r="S849" s="3066" t="s">
        <v>3577</v>
      </c>
      <c r="T849" s="3066">
        <v>21</v>
      </c>
      <c r="U849" s="3066">
        <v>844.2</v>
      </c>
      <c r="V849" s="3066" t="s">
        <v>3560</v>
      </c>
      <c r="W849" s="3066" t="s">
        <v>3568</v>
      </c>
      <c r="X849" s="3066">
        <v>2.25</v>
      </c>
      <c r="Y849" s="3066">
        <v>1084.8</v>
      </c>
      <c r="Z849" s="3066" t="s">
        <v>3568</v>
      </c>
      <c r="AA849" s="3066" t="s">
        <v>3560</v>
      </c>
      <c r="AB849" s="3066" t="s">
        <v>3584</v>
      </c>
      <c r="AC849" s="3066" t="s">
        <v>3584</v>
      </c>
      <c r="AD849" s="3066" t="s">
        <v>3584</v>
      </c>
      <c r="AE849" s="3066" t="s">
        <v>3560</v>
      </c>
      <c r="AF849" s="3067">
        <v>844.2</v>
      </c>
      <c r="AG849" s="3066">
        <v>844.2</v>
      </c>
      <c r="AH849" s="3066">
        <v>90.4</v>
      </c>
      <c r="AI849" s="3066">
        <v>90.4</v>
      </c>
      <c r="AJ849" s="3066">
        <v>56.94</v>
      </c>
      <c r="AK849" s="3066">
        <v>56.94</v>
      </c>
      <c r="AL849" s="3066">
        <v>991.54</v>
      </c>
      <c r="AM849" s="3066">
        <v>991.54</v>
      </c>
      <c r="AN849" s="3066" t="s">
        <v>3560</v>
      </c>
      <c r="AP849" s="3068">
        <f t="shared" si="13"/>
        <v>21</v>
      </c>
    </row>
    <row r="850" spans="2:42" ht="27" customHeight="1">
      <c r="B850" s="3066">
        <v>858</v>
      </c>
      <c r="C850" s="3066" t="s">
        <v>6195</v>
      </c>
      <c r="D850" s="3066" t="s">
        <v>4019</v>
      </c>
      <c r="E850" s="3066" t="s">
        <v>6202</v>
      </c>
      <c r="F850" s="3066" t="s">
        <v>3917</v>
      </c>
      <c r="G850" s="3066" t="s">
        <v>1373</v>
      </c>
      <c r="H850" s="3066" t="s">
        <v>3560</v>
      </c>
      <c r="I850" s="3066" t="s">
        <v>6197</v>
      </c>
      <c r="J850" s="3066" t="s">
        <v>3560</v>
      </c>
      <c r="K850" s="3066" t="s">
        <v>3560</v>
      </c>
      <c r="L850" s="3066" t="s">
        <v>6198</v>
      </c>
      <c r="M850" s="3066" t="s">
        <v>6203</v>
      </c>
      <c r="N850" s="3066">
        <v>40.200000000000003</v>
      </c>
      <c r="O850" s="3066" t="s">
        <v>3619</v>
      </c>
      <c r="P850" s="3066" t="s">
        <v>3566</v>
      </c>
      <c r="Q850" s="3066">
        <v>1</v>
      </c>
      <c r="R850" s="3066">
        <v>0</v>
      </c>
      <c r="S850" s="3066" t="s">
        <v>3577</v>
      </c>
      <c r="T850" s="3066">
        <v>21</v>
      </c>
      <c r="U850" s="3066">
        <v>844.2</v>
      </c>
      <c r="V850" s="3066" t="s">
        <v>3560</v>
      </c>
      <c r="W850" s="3066" t="s">
        <v>3568</v>
      </c>
      <c r="X850" s="3066">
        <v>2.25</v>
      </c>
      <c r="Y850" s="3066">
        <v>1084.8</v>
      </c>
      <c r="Z850" s="3066" t="s">
        <v>3568</v>
      </c>
      <c r="AA850" s="3066" t="s">
        <v>3560</v>
      </c>
      <c r="AB850" s="3066" t="s">
        <v>3584</v>
      </c>
      <c r="AC850" s="3066" t="s">
        <v>3584</v>
      </c>
      <c r="AD850" s="3066" t="s">
        <v>3584</v>
      </c>
      <c r="AE850" s="3066" t="s">
        <v>3560</v>
      </c>
      <c r="AF850" s="3067">
        <v>844.2</v>
      </c>
      <c r="AG850" s="3066">
        <v>844.2</v>
      </c>
      <c r="AH850" s="3066">
        <v>90.4</v>
      </c>
      <c r="AI850" s="3066">
        <v>90.4</v>
      </c>
      <c r="AJ850" s="3066">
        <v>71.38</v>
      </c>
      <c r="AK850" s="3066">
        <v>71.38</v>
      </c>
      <c r="AL850" s="3066">
        <v>1005.98</v>
      </c>
      <c r="AM850" s="3066">
        <v>1005.98</v>
      </c>
      <c r="AN850" s="3066" t="s">
        <v>3560</v>
      </c>
      <c r="AP850" s="3068">
        <f t="shared" si="13"/>
        <v>21</v>
      </c>
    </row>
    <row r="851" spans="2:42" ht="27" customHeight="1">
      <c r="B851" s="3066">
        <v>859</v>
      </c>
      <c r="C851" s="3066" t="s">
        <v>6195</v>
      </c>
      <c r="D851" s="3066" t="s">
        <v>4019</v>
      </c>
      <c r="E851" s="3066" t="s">
        <v>6204</v>
      </c>
      <c r="F851" s="3066" t="s">
        <v>3917</v>
      </c>
      <c r="G851" s="3066" t="s">
        <v>1373</v>
      </c>
      <c r="H851" s="3066" t="s">
        <v>3560</v>
      </c>
      <c r="I851" s="3066" t="s">
        <v>6197</v>
      </c>
      <c r="J851" s="3066" t="s">
        <v>3560</v>
      </c>
      <c r="K851" s="3066" t="s">
        <v>3560</v>
      </c>
      <c r="L851" s="3066" t="s">
        <v>6198</v>
      </c>
      <c r="M851" s="3066" t="s">
        <v>6205</v>
      </c>
      <c r="N851" s="3066">
        <v>40.200000000000003</v>
      </c>
      <c r="O851" s="3066" t="s">
        <v>3619</v>
      </c>
      <c r="P851" s="3066" t="s">
        <v>3566</v>
      </c>
      <c r="Q851" s="3066">
        <v>1</v>
      </c>
      <c r="R851" s="3066">
        <v>0</v>
      </c>
      <c r="S851" s="3066" t="s">
        <v>3577</v>
      </c>
      <c r="T851" s="3066">
        <v>21</v>
      </c>
      <c r="U851" s="3066">
        <v>844.2</v>
      </c>
      <c r="V851" s="3066" t="s">
        <v>3560</v>
      </c>
      <c r="W851" s="3066" t="s">
        <v>3568</v>
      </c>
      <c r="X851" s="3066">
        <v>2.25</v>
      </c>
      <c r="Y851" s="3066">
        <v>1084.8</v>
      </c>
      <c r="Z851" s="3066" t="s">
        <v>3568</v>
      </c>
      <c r="AA851" s="3066" t="s">
        <v>3560</v>
      </c>
      <c r="AB851" s="3066" t="s">
        <v>3584</v>
      </c>
      <c r="AC851" s="3066" t="s">
        <v>3584</v>
      </c>
      <c r="AD851" s="3066" t="s">
        <v>3584</v>
      </c>
      <c r="AE851" s="3066" t="s">
        <v>3560</v>
      </c>
      <c r="AF851" s="3067">
        <v>844.2</v>
      </c>
      <c r="AG851" s="3066">
        <v>844.2</v>
      </c>
      <c r="AH851" s="3066">
        <v>90.4</v>
      </c>
      <c r="AI851" s="3066">
        <v>90.4</v>
      </c>
      <c r="AJ851" s="3066">
        <v>47.42</v>
      </c>
      <c r="AK851" s="3066">
        <v>47.42</v>
      </c>
      <c r="AL851" s="3066">
        <v>982.02</v>
      </c>
      <c r="AM851" s="3066">
        <v>982.02</v>
      </c>
      <c r="AN851" s="3066" t="s">
        <v>3560</v>
      </c>
      <c r="AP851" s="3068">
        <f t="shared" si="13"/>
        <v>21</v>
      </c>
    </row>
    <row r="852" spans="2:42" ht="27" customHeight="1">
      <c r="B852" s="3066">
        <v>860</v>
      </c>
      <c r="C852" s="3066" t="s">
        <v>6195</v>
      </c>
      <c r="D852" s="3066" t="s">
        <v>4019</v>
      </c>
      <c r="E852" s="3066" t="s">
        <v>6206</v>
      </c>
      <c r="F852" s="3066" t="s">
        <v>3917</v>
      </c>
      <c r="G852" s="3066" t="s">
        <v>1373</v>
      </c>
      <c r="H852" s="3066" t="s">
        <v>3560</v>
      </c>
      <c r="I852" s="3066" t="s">
        <v>6197</v>
      </c>
      <c r="J852" s="3066" t="s">
        <v>3560</v>
      </c>
      <c r="K852" s="3066" t="s">
        <v>3560</v>
      </c>
      <c r="L852" s="3066" t="s">
        <v>6198</v>
      </c>
      <c r="M852" s="3066" t="s">
        <v>6207</v>
      </c>
      <c r="N852" s="3066">
        <v>40.200000000000003</v>
      </c>
      <c r="O852" s="3066" t="s">
        <v>3619</v>
      </c>
      <c r="P852" s="3066" t="s">
        <v>3566</v>
      </c>
      <c r="Q852" s="3066">
        <v>1</v>
      </c>
      <c r="R852" s="3066">
        <v>0</v>
      </c>
      <c r="S852" s="3066" t="s">
        <v>3577</v>
      </c>
      <c r="T852" s="3066">
        <v>21</v>
      </c>
      <c r="U852" s="3066">
        <v>844.2</v>
      </c>
      <c r="V852" s="3066" t="s">
        <v>3560</v>
      </c>
      <c r="W852" s="3066" t="s">
        <v>3568</v>
      </c>
      <c r="X852" s="3066">
        <v>2.25</v>
      </c>
      <c r="Y852" s="3066">
        <v>1084.8</v>
      </c>
      <c r="Z852" s="3066" t="s">
        <v>3568</v>
      </c>
      <c r="AA852" s="3066" t="s">
        <v>3560</v>
      </c>
      <c r="AB852" s="3066" t="s">
        <v>3584</v>
      </c>
      <c r="AC852" s="3066" t="s">
        <v>3584</v>
      </c>
      <c r="AD852" s="3066" t="s">
        <v>3584</v>
      </c>
      <c r="AE852" s="3066" t="s">
        <v>3560</v>
      </c>
      <c r="AF852" s="3067">
        <v>844.2</v>
      </c>
      <c r="AG852" s="3066">
        <v>844.2</v>
      </c>
      <c r="AH852" s="3066">
        <v>90.4</v>
      </c>
      <c r="AI852" s="3066">
        <v>90.4</v>
      </c>
      <c r="AJ852" s="3066">
        <v>443.35</v>
      </c>
      <c r="AK852" s="3066">
        <v>443.35</v>
      </c>
      <c r="AL852" s="3066">
        <v>1377.95</v>
      </c>
      <c r="AM852" s="3066">
        <v>1377.95</v>
      </c>
      <c r="AN852" s="3066" t="s">
        <v>3560</v>
      </c>
      <c r="AP852" s="3068">
        <f t="shared" si="13"/>
        <v>21</v>
      </c>
    </row>
    <row r="853" spans="2:42" ht="27" customHeight="1">
      <c r="B853" s="3066">
        <v>861</v>
      </c>
      <c r="C853" s="3066" t="s">
        <v>6195</v>
      </c>
      <c r="D853" s="3066" t="s">
        <v>4019</v>
      </c>
      <c r="E853" s="3066" t="s">
        <v>6208</v>
      </c>
      <c r="F853" s="3066" t="s">
        <v>3917</v>
      </c>
      <c r="G853" s="3066" t="s">
        <v>1373</v>
      </c>
      <c r="H853" s="3066" t="s">
        <v>3560</v>
      </c>
      <c r="I853" s="3066" t="s">
        <v>5329</v>
      </c>
      <c r="J853" s="3066" t="s">
        <v>5330</v>
      </c>
      <c r="K853" s="3066" t="s">
        <v>3560</v>
      </c>
      <c r="L853" s="3066" t="s">
        <v>5331</v>
      </c>
      <c r="M853" s="3066" t="s">
        <v>6209</v>
      </c>
      <c r="N853" s="3066">
        <v>40.200000000000003</v>
      </c>
      <c r="O853" s="3066" t="s">
        <v>3744</v>
      </c>
      <c r="P853" s="3066" t="s">
        <v>3566</v>
      </c>
      <c r="Q853" s="3066">
        <v>1</v>
      </c>
      <c r="R853" s="3066">
        <v>0</v>
      </c>
      <c r="S853" s="3066" t="s">
        <v>3577</v>
      </c>
      <c r="T853" s="3066">
        <v>20</v>
      </c>
      <c r="U853" s="3066">
        <v>804</v>
      </c>
      <c r="V853" s="3066" t="s">
        <v>3560</v>
      </c>
      <c r="W853" s="3066" t="s">
        <v>3568</v>
      </c>
      <c r="X853" s="3066">
        <v>2</v>
      </c>
      <c r="Y853" s="3066">
        <v>964.8</v>
      </c>
      <c r="Z853" s="3066" t="s">
        <v>3568</v>
      </c>
      <c r="AA853" s="3066" t="s">
        <v>3560</v>
      </c>
      <c r="AB853" s="3066" t="s">
        <v>3746</v>
      </c>
      <c r="AC853" s="3066" t="s">
        <v>3746</v>
      </c>
      <c r="AD853" s="3066" t="s">
        <v>3746</v>
      </c>
      <c r="AE853" s="3066" t="s">
        <v>3560</v>
      </c>
      <c r="AF853" s="3067">
        <v>804</v>
      </c>
      <c r="AG853" s="3066">
        <v>804</v>
      </c>
      <c r="AH853" s="3066">
        <v>80.400000000000006</v>
      </c>
      <c r="AI853" s="3066">
        <v>80.400000000000006</v>
      </c>
      <c r="AJ853" s="3066">
        <v>53.9</v>
      </c>
      <c r="AK853" s="3066">
        <v>53.9</v>
      </c>
      <c r="AL853" s="3066">
        <v>938.3</v>
      </c>
      <c r="AM853" s="3066">
        <v>938.3</v>
      </c>
      <c r="AN853" s="3066" t="s">
        <v>3560</v>
      </c>
      <c r="AP853" s="3068">
        <f t="shared" si="13"/>
        <v>20</v>
      </c>
    </row>
    <row r="854" spans="2:42" ht="27" customHeight="1">
      <c r="B854" s="3066">
        <v>862</v>
      </c>
      <c r="C854" s="3066" t="s">
        <v>6195</v>
      </c>
      <c r="D854" s="3066" t="s">
        <v>4019</v>
      </c>
      <c r="E854" s="3066" t="s">
        <v>6210</v>
      </c>
      <c r="F854" s="3066" t="s">
        <v>3917</v>
      </c>
      <c r="G854" s="3066" t="s">
        <v>1373</v>
      </c>
      <c r="H854" s="3066" t="s">
        <v>3560</v>
      </c>
      <c r="I854" s="3066" t="s">
        <v>4562</v>
      </c>
      <c r="J854" s="3066" t="s">
        <v>3560</v>
      </c>
      <c r="K854" s="3066" t="s">
        <v>3560</v>
      </c>
      <c r="L854" s="3066" t="s">
        <v>3905</v>
      </c>
      <c r="M854" s="3066" t="s">
        <v>6211</v>
      </c>
      <c r="N854" s="3066">
        <v>40.200000000000003</v>
      </c>
      <c r="O854" s="3066" t="s">
        <v>4516</v>
      </c>
      <c r="P854" s="3066" t="s">
        <v>3566</v>
      </c>
      <c r="Q854" s="3066">
        <v>0</v>
      </c>
      <c r="R854" s="3066">
        <v>2442</v>
      </c>
      <c r="S854" s="3066" t="s">
        <v>3567</v>
      </c>
      <c r="T854" s="3066">
        <v>38.770000000000003</v>
      </c>
      <c r="U854" s="3066">
        <v>1558.6</v>
      </c>
      <c r="V854" s="3066" t="s">
        <v>3560</v>
      </c>
      <c r="W854" s="3066" t="s">
        <v>3568</v>
      </c>
      <c r="X854" s="3066">
        <v>2.25</v>
      </c>
      <c r="Y854" s="3066">
        <v>1084.8</v>
      </c>
      <c r="Z854" s="3066" t="s">
        <v>3568</v>
      </c>
      <c r="AA854" s="3066" t="s">
        <v>3560</v>
      </c>
      <c r="AB854" s="3066" t="s">
        <v>3584</v>
      </c>
      <c r="AC854" s="3066" t="s">
        <v>3584</v>
      </c>
      <c r="AD854" s="3066" t="s">
        <v>3584</v>
      </c>
      <c r="AE854" s="3066" t="s">
        <v>3560</v>
      </c>
      <c r="AF854" s="3067">
        <v>1558.6</v>
      </c>
      <c r="AG854" s="3066">
        <v>1558.6</v>
      </c>
      <c r="AH854" s="3066">
        <v>90.4</v>
      </c>
      <c r="AI854" s="3066">
        <v>90.4</v>
      </c>
      <c r="AJ854" s="3066">
        <v>272.88</v>
      </c>
      <c r="AK854" s="3066">
        <v>272.88</v>
      </c>
      <c r="AL854" s="3066">
        <v>1921.88</v>
      </c>
      <c r="AM854" s="3066">
        <v>1921.88</v>
      </c>
      <c r="AN854" s="3066" t="s">
        <v>3560</v>
      </c>
      <c r="AP854" s="3068">
        <f t="shared" si="13"/>
        <v>38.771144278606961</v>
      </c>
    </row>
    <row r="855" spans="2:42" ht="27" customHeight="1">
      <c r="B855" s="3066">
        <v>863</v>
      </c>
      <c r="C855" s="3066" t="s">
        <v>6195</v>
      </c>
      <c r="D855" s="3066" t="s">
        <v>4019</v>
      </c>
      <c r="E855" s="3066" t="s">
        <v>6212</v>
      </c>
      <c r="F855" s="3066" t="s">
        <v>3917</v>
      </c>
      <c r="G855" s="3066" t="s">
        <v>1373</v>
      </c>
      <c r="H855" s="3066" t="s">
        <v>3560</v>
      </c>
      <c r="I855" s="3066" t="s">
        <v>3813</v>
      </c>
      <c r="J855" s="3066" t="s">
        <v>3814</v>
      </c>
      <c r="K855" s="3066" t="s">
        <v>3560</v>
      </c>
      <c r="L855" s="3066" t="s">
        <v>3815</v>
      </c>
      <c r="M855" s="3066" t="s">
        <v>6213</v>
      </c>
      <c r="N855" s="3066">
        <v>40.200000000000003</v>
      </c>
      <c r="O855" s="3066" t="s">
        <v>3919</v>
      </c>
      <c r="P855" s="3066" t="s">
        <v>3566</v>
      </c>
      <c r="Q855" s="3066">
        <v>1</v>
      </c>
      <c r="R855" s="3066">
        <v>13802</v>
      </c>
      <c r="S855" s="3066" t="s">
        <v>3567</v>
      </c>
      <c r="T855" s="3066">
        <v>20</v>
      </c>
      <c r="U855" s="3066">
        <v>804</v>
      </c>
      <c r="V855" s="3066" t="s">
        <v>3560</v>
      </c>
      <c r="W855" s="3066" t="s">
        <v>3568</v>
      </c>
      <c r="X855" s="3066">
        <v>2</v>
      </c>
      <c r="Y855" s="3066">
        <v>964.8</v>
      </c>
      <c r="Z855" s="3066" t="s">
        <v>3568</v>
      </c>
      <c r="AA855" s="3066" t="s">
        <v>3560</v>
      </c>
      <c r="AB855" s="3066" t="s">
        <v>3920</v>
      </c>
      <c r="AC855" s="3066" t="s">
        <v>3920</v>
      </c>
      <c r="AD855" s="3066" t="s">
        <v>3920</v>
      </c>
      <c r="AE855" s="3066" t="s">
        <v>3560</v>
      </c>
      <c r="AF855" s="3067">
        <v>804</v>
      </c>
      <c r="AG855" s="3066">
        <v>804</v>
      </c>
      <c r="AH855" s="3066">
        <v>80.400000000000006</v>
      </c>
      <c r="AI855" s="3066">
        <v>80.400000000000006</v>
      </c>
      <c r="AJ855" s="3066">
        <v>99.99</v>
      </c>
      <c r="AK855" s="3066">
        <v>99.99</v>
      </c>
      <c r="AL855" s="3066">
        <v>984.39</v>
      </c>
      <c r="AM855" s="3066">
        <v>984.39</v>
      </c>
      <c r="AN855" s="3066" t="s">
        <v>3560</v>
      </c>
      <c r="AP855" s="3068">
        <f t="shared" si="13"/>
        <v>20</v>
      </c>
    </row>
    <row r="856" spans="2:42" ht="27" customHeight="1">
      <c r="B856" s="3066">
        <v>864</v>
      </c>
      <c r="C856" s="3066" t="s">
        <v>6195</v>
      </c>
      <c r="D856" s="3066" t="s">
        <v>4019</v>
      </c>
      <c r="E856" s="3066" t="s">
        <v>6214</v>
      </c>
      <c r="F856" s="3066" t="s">
        <v>3917</v>
      </c>
      <c r="G856" s="3066" t="s">
        <v>1373</v>
      </c>
      <c r="H856" s="3066" t="s">
        <v>3560</v>
      </c>
      <c r="I856" s="3066" t="s">
        <v>3813</v>
      </c>
      <c r="J856" s="3066" t="s">
        <v>3814</v>
      </c>
      <c r="K856" s="3066" t="s">
        <v>3560</v>
      </c>
      <c r="L856" s="3066" t="s">
        <v>3815</v>
      </c>
      <c r="M856" s="3066" t="s">
        <v>6215</v>
      </c>
      <c r="N856" s="3066">
        <v>40.200000000000003</v>
      </c>
      <c r="O856" s="3066" t="s">
        <v>3919</v>
      </c>
      <c r="P856" s="3066" t="s">
        <v>3566</v>
      </c>
      <c r="Q856" s="3066">
        <v>1</v>
      </c>
      <c r="R856" s="3066">
        <v>0</v>
      </c>
      <c r="S856" s="3066" t="s">
        <v>3577</v>
      </c>
      <c r="T856" s="3066">
        <v>20</v>
      </c>
      <c r="U856" s="3066">
        <v>804</v>
      </c>
      <c r="V856" s="3066" t="s">
        <v>3560</v>
      </c>
      <c r="W856" s="3066" t="s">
        <v>3568</v>
      </c>
      <c r="X856" s="3066">
        <v>2</v>
      </c>
      <c r="Y856" s="3066">
        <v>964.8</v>
      </c>
      <c r="Z856" s="3066" t="s">
        <v>3568</v>
      </c>
      <c r="AA856" s="3066" t="s">
        <v>3560</v>
      </c>
      <c r="AB856" s="3066" t="s">
        <v>3920</v>
      </c>
      <c r="AC856" s="3066" t="s">
        <v>3920</v>
      </c>
      <c r="AD856" s="3066" t="s">
        <v>3920</v>
      </c>
      <c r="AE856" s="3066" t="s">
        <v>3560</v>
      </c>
      <c r="AF856" s="3067">
        <v>804</v>
      </c>
      <c r="AG856" s="3066">
        <v>804</v>
      </c>
      <c r="AH856" s="3066">
        <v>80.400000000000006</v>
      </c>
      <c r="AI856" s="3066">
        <v>80.400000000000006</v>
      </c>
      <c r="AJ856" s="3066">
        <v>46.09</v>
      </c>
      <c r="AK856" s="3066">
        <v>46.09</v>
      </c>
      <c r="AL856" s="3066">
        <v>930.49</v>
      </c>
      <c r="AM856" s="3066">
        <v>930.49</v>
      </c>
      <c r="AN856" s="3066" t="s">
        <v>3560</v>
      </c>
      <c r="AP856" s="3068">
        <f t="shared" si="13"/>
        <v>20</v>
      </c>
    </row>
    <row r="857" spans="2:42" ht="27" customHeight="1">
      <c r="B857" s="3066">
        <v>865</v>
      </c>
      <c r="C857" s="3066" t="s">
        <v>6195</v>
      </c>
      <c r="D857" s="3066" t="s">
        <v>4019</v>
      </c>
      <c r="E857" s="3066" t="s">
        <v>6216</v>
      </c>
      <c r="F857" s="3066" t="s">
        <v>3917</v>
      </c>
      <c r="G857" s="3066" t="s">
        <v>1373</v>
      </c>
      <c r="H857" s="3066" t="s">
        <v>3560</v>
      </c>
      <c r="I857" s="3066" t="s">
        <v>3813</v>
      </c>
      <c r="J857" s="3066" t="s">
        <v>3814</v>
      </c>
      <c r="K857" s="3066" t="s">
        <v>3560</v>
      </c>
      <c r="L857" s="3066" t="s">
        <v>3815</v>
      </c>
      <c r="M857" s="3066" t="s">
        <v>6217</v>
      </c>
      <c r="N857" s="3066">
        <v>40.200000000000003</v>
      </c>
      <c r="O857" s="3066" t="s">
        <v>3919</v>
      </c>
      <c r="P857" s="3066" t="s">
        <v>3566</v>
      </c>
      <c r="Q857" s="3066">
        <v>1</v>
      </c>
      <c r="R857" s="3066">
        <v>0</v>
      </c>
      <c r="S857" s="3066" t="s">
        <v>3577</v>
      </c>
      <c r="T857" s="3066">
        <v>20</v>
      </c>
      <c r="U857" s="3066">
        <v>804</v>
      </c>
      <c r="V857" s="3066" t="s">
        <v>3560</v>
      </c>
      <c r="W857" s="3066" t="s">
        <v>3568</v>
      </c>
      <c r="X857" s="3066">
        <v>2</v>
      </c>
      <c r="Y857" s="3066">
        <v>964.8</v>
      </c>
      <c r="Z857" s="3066" t="s">
        <v>3568</v>
      </c>
      <c r="AA857" s="3066" t="s">
        <v>3560</v>
      </c>
      <c r="AB857" s="3066" t="s">
        <v>3920</v>
      </c>
      <c r="AC857" s="3066" t="s">
        <v>3920</v>
      </c>
      <c r="AD857" s="3066" t="s">
        <v>3920</v>
      </c>
      <c r="AE857" s="3066" t="s">
        <v>3560</v>
      </c>
      <c r="AF857" s="3067">
        <v>804</v>
      </c>
      <c r="AG857" s="3066">
        <v>804</v>
      </c>
      <c r="AH857" s="3066">
        <v>80.400000000000006</v>
      </c>
      <c r="AI857" s="3066">
        <v>80.400000000000006</v>
      </c>
      <c r="AJ857" s="3066">
        <v>68.08</v>
      </c>
      <c r="AK857" s="3066">
        <v>68.08</v>
      </c>
      <c r="AL857" s="3066">
        <v>952.48</v>
      </c>
      <c r="AM857" s="3066">
        <v>952.48</v>
      </c>
      <c r="AN857" s="3066" t="s">
        <v>3560</v>
      </c>
      <c r="AP857" s="3068">
        <f t="shared" si="13"/>
        <v>20</v>
      </c>
    </row>
    <row r="858" spans="2:42" ht="27" customHeight="1">
      <c r="B858" s="3066">
        <v>866</v>
      </c>
      <c r="C858" s="3066" t="s">
        <v>6195</v>
      </c>
      <c r="D858" s="3066" t="s">
        <v>4019</v>
      </c>
      <c r="E858" s="3066" t="s">
        <v>6218</v>
      </c>
      <c r="F858" s="3066" t="s">
        <v>3917</v>
      </c>
      <c r="G858" s="3066" t="s">
        <v>1373</v>
      </c>
      <c r="H858" s="3066" t="s">
        <v>3560</v>
      </c>
      <c r="I858" s="3066" t="s">
        <v>3813</v>
      </c>
      <c r="J858" s="3066" t="s">
        <v>3814</v>
      </c>
      <c r="K858" s="3066" t="s">
        <v>3560</v>
      </c>
      <c r="L858" s="3066" t="s">
        <v>3815</v>
      </c>
      <c r="M858" s="3066" t="s">
        <v>6219</v>
      </c>
      <c r="N858" s="3066">
        <v>40.200000000000003</v>
      </c>
      <c r="O858" s="3066" t="s">
        <v>3919</v>
      </c>
      <c r="P858" s="3066" t="s">
        <v>3566</v>
      </c>
      <c r="Q858" s="3066">
        <v>1</v>
      </c>
      <c r="R858" s="3066">
        <v>0</v>
      </c>
      <c r="S858" s="3066" t="s">
        <v>3577</v>
      </c>
      <c r="T858" s="3066">
        <v>20</v>
      </c>
      <c r="U858" s="3066">
        <v>804</v>
      </c>
      <c r="V858" s="3066" t="s">
        <v>3560</v>
      </c>
      <c r="W858" s="3066" t="s">
        <v>3568</v>
      </c>
      <c r="X858" s="3066">
        <v>2</v>
      </c>
      <c r="Y858" s="3066">
        <v>964.8</v>
      </c>
      <c r="Z858" s="3066" t="s">
        <v>3568</v>
      </c>
      <c r="AA858" s="3066" t="s">
        <v>3560</v>
      </c>
      <c r="AB858" s="3066" t="s">
        <v>3920</v>
      </c>
      <c r="AC858" s="3066" t="s">
        <v>3920</v>
      </c>
      <c r="AD858" s="3066" t="s">
        <v>3920</v>
      </c>
      <c r="AE858" s="3066" t="s">
        <v>3560</v>
      </c>
      <c r="AF858" s="3067">
        <v>804</v>
      </c>
      <c r="AG858" s="3066">
        <v>804</v>
      </c>
      <c r="AH858" s="3066">
        <v>80.400000000000006</v>
      </c>
      <c r="AI858" s="3066">
        <v>80.400000000000006</v>
      </c>
      <c r="AJ858" s="3066">
        <v>325.51</v>
      </c>
      <c r="AK858" s="3066">
        <v>325.51</v>
      </c>
      <c r="AL858" s="3066">
        <v>1209.9100000000001</v>
      </c>
      <c r="AM858" s="3066">
        <v>1209.9100000000001</v>
      </c>
      <c r="AN858" s="3066" t="s">
        <v>3560</v>
      </c>
      <c r="AP858" s="3068">
        <f t="shared" si="13"/>
        <v>20</v>
      </c>
    </row>
    <row r="859" spans="2:42" ht="27" customHeight="1">
      <c r="B859" s="3066">
        <v>867</v>
      </c>
      <c r="C859" s="3066" t="s">
        <v>6195</v>
      </c>
      <c r="D859" s="3066" t="s">
        <v>4019</v>
      </c>
      <c r="E859" s="3066" t="s">
        <v>6220</v>
      </c>
      <c r="F859" s="3066" t="s">
        <v>3917</v>
      </c>
      <c r="G859" s="3066" t="s">
        <v>1373</v>
      </c>
      <c r="H859" s="3066" t="s">
        <v>3560</v>
      </c>
      <c r="I859" s="3066" t="s">
        <v>3813</v>
      </c>
      <c r="J859" s="3066" t="s">
        <v>3814</v>
      </c>
      <c r="K859" s="3066" t="s">
        <v>3560</v>
      </c>
      <c r="L859" s="3066" t="s">
        <v>3815</v>
      </c>
      <c r="M859" s="3066" t="s">
        <v>6221</v>
      </c>
      <c r="N859" s="3066">
        <v>40.200000000000003</v>
      </c>
      <c r="O859" s="3066" t="s">
        <v>3919</v>
      </c>
      <c r="P859" s="3066" t="s">
        <v>3566</v>
      </c>
      <c r="Q859" s="3066">
        <v>1</v>
      </c>
      <c r="R859" s="3066">
        <v>0</v>
      </c>
      <c r="S859" s="3066" t="s">
        <v>3577</v>
      </c>
      <c r="T859" s="3066">
        <v>20</v>
      </c>
      <c r="U859" s="3066">
        <v>804</v>
      </c>
      <c r="V859" s="3066" t="s">
        <v>3560</v>
      </c>
      <c r="W859" s="3066" t="s">
        <v>3568</v>
      </c>
      <c r="X859" s="3066">
        <v>2</v>
      </c>
      <c r="Y859" s="3066">
        <v>964.8</v>
      </c>
      <c r="Z859" s="3066" t="s">
        <v>3568</v>
      </c>
      <c r="AA859" s="3066" t="s">
        <v>3560</v>
      </c>
      <c r="AB859" s="3066" t="s">
        <v>3920</v>
      </c>
      <c r="AC859" s="3066" t="s">
        <v>3920</v>
      </c>
      <c r="AD859" s="3066" t="s">
        <v>3920</v>
      </c>
      <c r="AE859" s="3066" t="s">
        <v>3560</v>
      </c>
      <c r="AF859" s="3067">
        <v>804</v>
      </c>
      <c r="AG859" s="3066">
        <v>804</v>
      </c>
      <c r="AH859" s="3066">
        <v>80.400000000000006</v>
      </c>
      <c r="AI859" s="3066">
        <v>80.400000000000006</v>
      </c>
      <c r="AJ859" s="3066">
        <v>222.43</v>
      </c>
      <c r="AK859" s="3066">
        <v>222.43</v>
      </c>
      <c r="AL859" s="3066">
        <v>1106.83</v>
      </c>
      <c r="AM859" s="3066">
        <v>1106.83</v>
      </c>
      <c r="AN859" s="3066" t="s">
        <v>3560</v>
      </c>
      <c r="AP859" s="3068">
        <f t="shared" si="13"/>
        <v>20</v>
      </c>
    </row>
    <row r="860" spans="2:42" ht="27" customHeight="1">
      <c r="B860" s="3066">
        <v>868</v>
      </c>
      <c r="C860" s="3066" t="s">
        <v>6195</v>
      </c>
      <c r="D860" s="3066" t="s">
        <v>4019</v>
      </c>
      <c r="E860" s="3066" t="s">
        <v>6222</v>
      </c>
      <c r="F860" s="3066" t="s">
        <v>3917</v>
      </c>
      <c r="G860" s="3066" t="s">
        <v>1373</v>
      </c>
      <c r="H860" s="3066" t="s">
        <v>3560</v>
      </c>
      <c r="I860" s="3066" t="s">
        <v>3813</v>
      </c>
      <c r="J860" s="3066" t="s">
        <v>3814</v>
      </c>
      <c r="K860" s="3066" t="s">
        <v>3560</v>
      </c>
      <c r="L860" s="3066" t="s">
        <v>3815</v>
      </c>
      <c r="M860" s="3066" t="s">
        <v>6223</v>
      </c>
      <c r="N860" s="3066">
        <v>40.200000000000003</v>
      </c>
      <c r="O860" s="3066" t="s">
        <v>3919</v>
      </c>
      <c r="P860" s="3066" t="s">
        <v>3566</v>
      </c>
      <c r="Q860" s="3066">
        <v>1</v>
      </c>
      <c r="R860" s="3066">
        <v>0</v>
      </c>
      <c r="S860" s="3066" t="s">
        <v>3577</v>
      </c>
      <c r="T860" s="3066">
        <v>20</v>
      </c>
      <c r="U860" s="3066">
        <v>804</v>
      </c>
      <c r="V860" s="3066" t="s">
        <v>3560</v>
      </c>
      <c r="W860" s="3066" t="s">
        <v>3568</v>
      </c>
      <c r="X860" s="3066">
        <v>2</v>
      </c>
      <c r="Y860" s="3066">
        <v>964.8</v>
      </c>
      <c r="Z860" s="3066" t="s">
        <v>3568</v>
      </c>
      <c r="AA860" s="3066" t="s">
        <v>3560</v>
      </c>
      <c r="AB860" s="3066" t="s">
        <v>3920</v>
      </c>
      <c r="AC860" s="3066" t="s">
        <v>3920</v>
      </c>
      <c r="AD860" s="3066" t="s">
        <v>3920</v>
      </c>
      <c r="AE860" s="3066" t="s">
        <v>3560</v>
      </c>
      <c r="AF860" s="3067">
        <v>804</v>
      </c>
      <c r="AG860" s="3066">
        <v>804</v>
      </c>
      <c r="AH860" s="3066">
        <v>80.400000000000006</v>
      </c>
      <c r="AI860" s="3066">
        <v>80.400000000000006</v>
      </c>
      <c r="AJ860" s="3066">
        <v>138.57</v>
      </c>
      <c r="AK860" s="3066">
        <v>138.57</v>
      </c>
      <c r="AL860" s="3066">
        <v>1022.97</v>
      </c>
      <c r="AM860" s="3066">
        <v>1022.97</v>
      </c>
      <c r="AN860" s="3066" t="s">
        <v>3560</v>
      </c>
      <c r="AP860" s="3068">
        <f t="shared" si="13"/>
        <v>20</v>
      </c>
    </row>
    <row r="861" spans="2:42" ht="27" customHeight="1">
      <c r="B861" s="3066">
        <v>869</v>
      </c>
      <c r="C861" s="3066" t="s">
        <v>6195</v>
      </c>
      <c r="D861" s="3066" t="s">
        <v>4019</v>
      </c>
      <c r="E861" s="3066" t="s">
        <v>6224</v>
      </c>
      <c r="F861" s="3066" t="s">
        <v>3917</v>
      </c>
      <c r="G861" s="3066" t="s">
        <v>1373</v>
      </c>
      <c r="H861" s="3066" t="s">
        <v>3560</v>
      </c>
      <c r="I861" s="3066" t="s">
        <v>3813</v>
      </c>
      <c r="J861" s="3066" t="s">
        <v>3814</v>
      </c>
      <c r="K861" s="3066" t="s">
        <v>3560</v>
      </c>
      <c r="L861" s="3066" t="s">
        <v>3815</v>
      </c>
      <c r="M861" s="3066" t="s">
        <v>6225</v>
      </c>
      <c r="N861" s="3066">
        <v>40.200000000000003</v>
      </c>
      <c r="O861" s="3066" t="s">
        <v>3919</v>
      </c>
      <c r="P861" s="3066" t="s">
        <v>3566</v>
      </c>
      <c r="Q861" s="3066">
        <v>1</v>
      </c>
      <c r="R861" s="3066">
        <v>0</v>
      </c>
      <c r="S861" s="3066" t="s">
        <v>3577</v>
      </c>
      <c r="T861" s="3066">
        <v>20</v>
      </c>
      <c r="U861" s="3066">
        <v>804</v>
      </c>
      <c r="V861" s="3066" t="s">
        <v>3560</v>
      </c>
      <c r="W861" s="3066" t="s">
        <v>3568</v>
      </c>
      <c r="X861" s="3066">
        <v>2</v>
      </c>
      <c r="Y861" s="3066">
        <v>964.8</v>
      </c>
      <c r="Z861" s="3066" t="s">
        <v>3568</v>
      </c>
      <c r="AA861" s="3066" t="s">
        <v>3560</v>
      </c>
      <c r="AB861" s="3066" t="s">
        <v>3920</v>
      </c>
      <c r="AC861" s="3066" t="s">
        <v>3920</v>
      </c>
      <c r="AD861" s="3066" t="s">
        <v>3920</v>
      </c>
      <c r="AE861" s="3066" t="s">
        <v>3560</v>
      </c>
      <c r="AF861" s="3067">
        <v>804</v>
      </c>
      <c r="AG861" s="3066">
        <v>804</v>
      </c>
      <c r="AH861" s="3066">
        <v>80.400000000000006</v>
      </c>
      <c r="AI861" s="3066">
        <v>80.400000000000006</v>
      </c>
      <c r="AJ861" s="3066">
        <v>110.08</v>
      </c>
      <c r="AK861" s="3066">
        <v>110.08</v>
      </c>
      <c r="AL861" s="3066">
        <v>994.48</v>
      </c>
      <c r="AM861" s="3066">
        <v>994.48</v>
      </c>
      <c r="AN861" s="3066" t="s">
        <v>3560</v>
      </c>
      <c r="AP861" s="3068">
        <f t="shared" si="13"/>
        <v>20</v>
      </c>
    </row>
    <row r="862" spans="2:42" ht="27" customHeight="1">
      <c r="B862" s="3066">
        <v>870</v>
      </c>
      <c r="C862" s="3066" t="s">
        <v>6195</v>
      </c>
      <c r="D862" s="3066" t="s">
        <v>4019</v>
      </c>
      <c r="E862" s="3066" t="s">
        <v>6226</v>
      </c>
      <c r="F862" s="3066" t="s">
        <v>3917</v>
      </c>
      <c r="G862" s="3066" t="s">
        <v>1373</v>
      </c>
      <c r="H862" s="3066" t="s">
        <v>3560</v>
      </c>
      <c r="I862" s="3066" t="s">
        <v>3813</v>
      </c>
      <c r="J862" s="3066" t="s">
        <v>3814</v>
      </c>
      <c r="K862" s="3066" t="s">
        <v>3560</v>
      </c>
      <c r="L862" s="3066" t="s">
        <v>3815</v>
      </c>
      <c r="M862" s="3066" t="s">
        <v>6227</v>
      </c>
      <c r="N862" s="3066">
        <v>40.200000000000003</v>
      </c>
      <c r="O862" s="3066" t="s">
        <v>3919</v>
      </c>
      <c r="P862" s="3066" t="s">
        <v>3566</v>
      </c>
      <c r="Q862" s="3066">
        <v>1</v>
      </c>
      <c r="R862" s="3066">
        <v>0</v>
      </c>
      <c r="S862" s="3066" t="s">
        <v>3577</v>
      </c>
      <c r="T862" s="3066">
        <v>20</v>
      </c>
      <c r="U862" s="3066">
        <v>804</v>
      </c>
      <c r="V862" s="3066" t="s">
        <v>3560</v>
      </c>
      <c r="W862" s="3066" t="s">
        <v>3568</v>
      </c>
      <c r="X862" s="3066">
        <v>2</v>
      </c>
      <c r="Y862" s="3066">
        <v>964.8</v>
      </c>
      <c r="Z862" s="3066" t="s">
        <v>3568</v>
      </c>
      <c r="AA862" s="3066" t="s">
        <v>3560</v>
      </c>
      <c r="AB862" s="3066" t="s">
        <v>3920</v>
      </c>
      <c r="AC862" s="3066" t="s">
        <v>3920</v>
      </c>
      <c r="AD862" s="3066" t="s">
        <v>3920</v>
      </c>
      <c r="AE862" s="3066" t="s">
        <v>3560</v>
      </c>
      <c r="AF862" s="3067">
        <v>804</v>
      </c>
      <c r="AG862" s="3066">
        <v>804</v>
      </c>
      <c r="AH862" s="3066">
        <v>80.400000000000006</v>
      </c>
      <c r="AI862" s="3066">
        <v>80.400000000000006</v>
      </c>
      <c r="AJ862" s="3066">
        <v>0</v>
      </c>
      <c r="AK862" s="3066">
        <v>0</v>
      </c>
      <c r="AL862" s="3066">
        <v>884.4</v>
      </c>
      <c r="AM862" s="3066">
        <v>884.4</v>
      </c>
      <c r="AN862" s="3066" t="s">
        <v>3560</v>
      </c>
      <c r="AP862" s="3068">
        <f t="shared" si="13"/>
        <v>20</v>
      </c>
    </row>
    <row r="863" spans="2:42" ht="27" customHeight="1">
      <c r="B863" s="3066">
        <v>871</v>
      </c>
      <c r="C863" s="3066" t="s">
        <v>6195</v>
      </c>
      <c r="D863" s="3066" t="s">
        <v>3915</v>
      </c>
      <c r="E863" s="3066" t="s">
        <v>6228</v>
      </c>
      <c r="F863" s="3066" t="s">
        <v>3917</v>
      </c>
      <c r="G863" s="3066" t="s">
        <v>1373</v>
      </c>
      <c r="H863" s="3066" t="s">
        <v>3560</v>
      </c>
      <c r="I863" s="3066" t="s">
        <v>5329</v>
      </c>
      <c r="J863" s="3066" t="s">
        <v>5330</v>
      </c>
      <c r="K863" s="3066" t="s">
        <v>3560</v>
      </c>
      <c r="L863" s="3066" t="s">
        <v>5331</v>
      </c>
      <c r="M863" s="3066" t="s">
        <v>6229</v>
      </c>
      <c r="N863" s="3066">
        <v>40.200000000000003</v>
      </c>
      <c r="O863" s="3066" t="s">
        <v>3744</v>
      </c>
      <c r="P863" s="3066" t="s">
        <v>3566</v>
      </c>
      <c r="Q863" s="3066">
        <v>1</v>
      </c>
      <c r="R863" s="3066">
        <v>0</v>
      </c>
      <c r="S863" s="3066" t="s">
        <v>3577</v>
      </c>
      <c r="T863" s="3066">
        <v>20</v>
      </c>
      <c r="U863" s="3066">
        <v>804</v>
      </c>
      <c r="V863" s="3066" t="s">
        <v>3560</v>
      </c>
      <c r="W863" s="3066" t="s">
        <v>3568</v>
      </c>
      <c r="X863" s="3066">
        <v>2</v>
      </c>
      <c r="Y863" s="3066">
        <v>964.8</v>
      </c>
      <c r="Z863" s="3066" t="s">
        <v>3568</v>
      </c>
      <c r="AA863" s="3066" t="s">
        <v>3560</v>
      </c>
      <c r="AB863" s="3066" t="s">
        <v>3746</v>
      </c>
      <c r="AC863" s="3066" t="s">
        <v>3746</v>
      </c>
      <c r="AD863" s="3066" t="s">
        <v>3746</v>
      </c>
      <c r="AE863" s="3066" t="s">
        <v>3560</v>
      </c>
      <c r="AF863" s="3067">
        <v>804</v>
      </c>
      <c r="AG863" s="3066">
        <v>804</v>
      </c>
      <c r="AH863" s="3066">
        <v>80.400000000000006</v>
      </c>
      <c r="AI863" s="3066">
        <v>80.400000000000006</v>
      </c>
      <c r="AJ863" s="3066">
        <v>54.71</v>
      </c>
      <c r="AK863" s="3066">
        <v>54.71</v>
      </c>
      <c r="AL863" s="3066">
        <v>939.11</v>
      </c>
      <c r="AM863" s="3066">
        <v>939.11</v>
      </c>
      <c r="AN863" s="3066" t="s">
        <v>3560</v>
      </c>
      <c r="AP863" s="3068">
        <f t="shared" si="13"/>
        <v>20</v>
      </c>
    </row>
    <row r="864" spans="2:42" ht="27" customHeight="1">
      <c r="B864" s="3066">
        <v>872</v>
      </c>
      <c r="C864" s="3066" t="s">
        <v>6195</v>
      </c>
      <c r="D864" s="3066" t="s">
        <v>3915</v>
      </c>
      <c r="E864" s="3066" t="s">
        <v>6230</v>
      </c>
      <c r="F864" s="3066" t="s">
        <v>3917</v>
      </c>
      <c r="G864" s="3066" t="s">
        <v>1373</v>
      </c>
      <c r="H864" s="3066" t="s">
        <v>3560</v>
      </c>
      <c r="I864" s="3066" t="s">
        <v>6231</v>
      </c>
      <c r="J864" s="3066" t="s">
        <v>3560</v>
      </c>
      <c r="K864" s="3066" t="s">
        <v>3560</v>
      </c>
      <c r="L864" s="3066" t="s">
        <v>6232</v>
      </c>
      <c r="M864" s="3066" t="s">
        <v>6233</v>
      </c>
      <c r="N864" s="3066">
        <v>40.200000000000003</v>
      </c>
      <c r="O864" s="3066" t="s">
        <v>3619</v>
      </c>
      <c r="P864" s="3066" t="s">
        <v>3566</v>
      </c>
      <c r="Q864" s="3066">
        <v>1</v>
      </c>
      <c r="R864" s="3066">
        <v>2683</v>
      </c>
      <c r="S864" s="3066" t="s">
        <v>3567</v>
      </c>
      <c r="T864" s="3066">
        <v>20</v>
      </c>
      <c r="U864" s="3066">
        <v>804</v>
      </c>
      <c r="V864" s="3066" t="s">
        <v>3560</v>
      </c>
      <c r="W864" s="3066" t="s">
        <v>3568</v>
      </c>
      <c r="X864" s="3066">
        <v>2.25</v>
      </c>
      <c r="Y864" s="3066">
        <v>1084.8</v>
      </c>
      <c r="Z864" s="3066" t="s">
        <v>3568</v>
      </c>
      <c r="AA864" s="3066" t="s">
        <v>3560</v>
      </c>
      <c r="AB864" s="3066" t="s">
        <v>3584</v>
      </c>
      <c r="AC864" s="3066" t="s">
        <v>3584</v>
      </c>
      <c r="AD864" s="3066" t="s">
        <v>3584</v>
      </c>
      <c r="AE864" s="3066" t="s">
        <v>3560</v>
      </c>
      <c r="AF864" s="3067">
        <v>804</v>
      </c>
      <c r="AG864" s="3066">
        <v>0</v>
      </c>
      <c r="AH864" s="3066">
        <v>90.4</v>
      </c>
      <c r="AI864" s="3066">
        <v>0</v>
      </c>
      <c r="AJ864" s="3066">
        <v>46.15</v>
      </c>
      <c r="AK864" s="3066">
        <v>0</v>
      </c>
      <c r="AL864" s="3066">
        <v>940.55</v>
      </c>
      <c r="AM864" s="3066">
        <v>0</v>
      </c>
      <c r="AN864" s="3066" t="s">
        <v>3560</v>
      </c>
      <c r="AP864" s="3068">
        <f t="shared" si="13"/>
        <v>20</v>
      </c>
    </row>
    <row r="865" spans="2:42" ht="27" customHeight="1">
      <c r="B865" s="3066">
        <v>873</v>
      </c>
      <c r="C865" s="3066" t="s">
        <v>6195</v>
      </c>
      <c r="D865" s="3066" t="s">
        <v>3915</v>
      </c>
      <c r="E865" s="3066" t="s">
        <v>6234</v>
      </c>
      <c r="F865" s="3066" t="s">
        <v>3917</v>
      </c>
      <c r="G865" s="3066" t="s">
        <v>1373</v>
      </c>
      <c r="H865" s="3066" t="s">
        <v>3560</v>
      </c>
      <c r="I865" s="3066" t="s">
        <v>3870</v>
      </c>
      <c r="J865" s="3066" t="s">
        <v>3871</v>
      </c>
      <c r="K865" s="3066" t="s">
        <v>3560</v>
      </c>
      <c r="L865" s="3066" t="s">
        <v>3872</v>
      </c>
      <c r="M865" s="3066" t="s">
        <v>6235</v>
      </c>
      <c r="N865" s="3066">
        <v>40.200000000000003</v>
      </c>
      <c r="O865" s="3066" t="s">
        <v>3785</v>
      </c>
      <c r="P865" s="3066" t="s">
        <v>3566</v>
      </c>
      <c r="Q865" s="3066">
        <v>1</v>
      </c>
      <c r="R865" s="3066">
        <v>2653.2</v>
      </c>
      <c r="S865" s="3066" t="s">
        <v>3567</v>
      </c>
      <c r="T865" s="3066">
        <v>20</v>
      </c>
      <c r="U865" s="3066">
        <v>804</v>
      </c>
      <c r="V865" s="3066" t="s">
        <v>3560</v>
      </c>
      <c r="W865" s="3066" t="s">
        <v>3568</v>
      </c>
      <c r="X865" s="3066">
        <v>2</v>
      </c>
      <c r="Y865" s="3066">
        <v>964.8</v>
      </c>
      <c r="Z865" s="3066" t="s">
        <v>3568</v>
      </c>
      <c r="AA865" s="3066" t="s">
        <v>3560</v>
      </c>
      <c r="AB865" s="3066" t="s">
        <v>3591</v>
      </c>
      <c r="AC865" s="3066" t="s">
        <v>3591</v>
      </c>
      <c r="AD865" s="3066" t="s">
        <v>3591</v>
      </c>
      <c r="AE865" s="3066" t="s">
        <v>3560</v>
      </c>
      <c r="AF865" s="3067">
        <v>804</v>
      </c>
      <c r="AG865" s="3066">
        <v>804</v>
      </c>
      <c r="AH865" s="3066">
        <v>80.400000000000006</v>
      </c>
      <c r="AI865" s="3066">
        <v>80.400000000000006</v>
      </c>
      <c r="AJ865" s="3066">
        <v>24.11</v>
      </c>
      <c r="AK865" s="3066">
        <v>24.11</v>
      </c>
      <c r="AL865" s="3066">
        <v>908.51</v>
      </c>
      <c r="AM865" s="3066">
        <v>908.51</v>
      </c>
      <c r="AN865" s="3066" t="s">
        <v>3560</v>
      </c>
      <c r="AP865" s="3068">
        <f t="shared" si="13"/>
        <v>20</v>
      </c>
    </row>
    <row r="866" spans="2:42" ht="27" customHeight="1">
      <c r="B866" s="3066">
        <v>874</v>
      </c>
      <c r="C866" s="3066" t="s">
        <v>6195</v>
      </c>
      <c r="D866" s="3066" t="s">
        <v>3915</v>
      </c>
      <c r="E866" s="3066" t="s">
        <v>6236</v>
      </c>
      <c r="F866" s="3066" t="s">
        <v>3917</v>
      </c>
      <c r="G866" s="3066" t="s">
        <v>3560</v>
      </c>
      <c r="H866" s="3066" t="s">
        <v>3560</v>
      </c>
      <c r="I866" s="3066" t="s">
        <v>6237</v>
      </c>
      <c r="J866" s="3066" t="s">
        <v>6237</v>
      </c>
      <c r="K866" s="3066" t="s">
        <v>3560</v>
      </c>
      <c r="L866" s="3066" t="s">
        <v>6238</v>
      </c>
      <c r="M866" s="3066" t="s">
        <v>6239</v>
      </c>
      <c r="N866" s="3066">
        <v>40.200000000000003</v>
      </c>
      <c r="O866" s="3066" t="s">
        <v>3919</v>
      </c>
      <c r="P866" s="3066" t="s">
        <v>3566</v>
      </c>
      <c r="Q866" s="3066">
        <v>1</v>
      </c>
      <c r="R866" s="3066">
        <v>4472</v>
      </c>
      <c r="S866" s="3066" t="s">
        <v>3567</v>
      </c>
      <c r="T866" s="3066">
        <v>20</v>
      </c>
      <c r="U866" s="3066">
        <v>804</v>
      </c>
      <c r="V866" s="3066" t="s">
        <v>3560</v>
      </c>
      <c r="W866" s="3066" t="s">
        <v>3568</v>
      </c>
      <c r="X866" s="3066">
        <v>2.25</v>
      </c>
      <c r="Y866" s="3066">
        <v>1084.8</v>
      </c>
      <c r="Z866" s="3066" t="s">
        <v>3568</v>
      </c>
      <c r="AA866" s="3066" t="s">
        <v>3560</v>
      </c>
      <c r="AB866" s="3066" t="s">
        <v>3920</v>
      </c>
      <c r="AC866" s="3066" t="s">
        <v>3920</v>
      </c>
      <c r="AD866" s="3066" t="s">
        <v>3920</v>
      </c>
      <c r="AE866" s="3066" t="s">
        <v>3560</v>
      </c>
      <c r="AF866" s="3067">
        <v>804</v>
      </c>
      <c r="AG866" s="3066">
        <v>0</v>
      </c>
      <c r="AH866" s="3066">
        <v>90.4</v>
      </c>
      <c r="AI866" s="3066">
        <v>0</v>
      </c>
      <c r="AJ866" s="3066">
        <v>53.37</v>
      </c>
      <c r="AK866" s="3066">
        <v>0</v>
      </c>
      <c r="AL866" s="3066">
        <v>947.77</v>
      </c>
      <c r="AM866" s="3066">
        <v>0</v>
      </c>
      <c r="AN866" s="3066" t="s">
        <v>3560</v>
      </c>
      <c r="AP866" s="3068">
        <f t="shared" si="13"/>
        <v>20</v>
      </c>
    </row>
    <row r="867" spans="2:42" ht="27" customHeight="1">
      <c r="B867" s="3066">
        <v>875</v>
      </c>
      <c r="C867" s="3066" t="s">
        <v>6195</v>
      </c>
      <c r="D867" s="3066" t="s">
        <v>3915</v>
      </c>
      <c r="E867" s="3066" t="s">
        <v>6240</v>
      </c>
      <c r="F867" s="3066" t="s">
        <v>3917</v>
      </c>
      <c r="G867" s="3066" t="s">
        <v>3560</v>
      </c>
      <c r="H867" s="3066" t="s">
        <v>3560</v>
      </c>
      <c r="I867" s="3066" t="s">
        <v>3560</v>
      </c>
      <c r="J867" s="3066" t="s">
        <v>3560</v>
      </c>
      <c r="K867" s="3066" t="s">
        <v>3560</v>
      </c>
      <c r="L867" s="3066" t="s">
        <v>3560</v>
      </c>
      <c r="M867" s="3066" t="s">
        <v>6241</v>
      </c>
      <c r="N867" s="3066">
        <v>40.200000000000003</v>
      </c>
      <c r="O867" s="3066" t="s">
        <v>3560</v>
      </c>
      <c r="P867" s="3066" t="s">
        <v>3560</v>
      </c>
      <c r="Q867" s="3066">
        <v>0</v>
      </c>
      <c r="R867" s="3066">
        <v>0</v>
      </c>
      <c r="S867" s="3066" t="s">
        <v>3577</v>
      </c>
      <c r="T867" s="3066">
        <v>0</v>
      </c>
      <c r="U867" s="3066">
        <v>0</v>
      </c>
      <c r="V867" s="3066" t="s">
        <v>3560</v>
      </c>
      <c r="W867" s="3066" t="s">
        <v>3568</v>
      </c>
      <c r="X867" s="3066">
        <v>0</v>
      </c>
      <c r="Y867" s="3066">
        <v>0</v>
      </c>
      <c r="Z867" s="3066" t="s">
        <v>3568</v>
      </c>
      <c r="AA867" s="3066" t="s">
        <v>3560</v>
      </c>
      <c r="AB867" s="3066" t="s">
        <v>3560</v>
      </c>
      <c r="AC867" s="3066" t="s">
        <v>3560</v>
      </c>
      <c r="AD867" s="3066" t="s">
        <v>3560</v>
      </c>
      <c r="AE867" s="3066" t="s">
        <v>3560</v>
      </c>
      <c r="AF867" s="3067">
        <v>0</v>
      </c>
      <c r="AG867" s="3066">
        <v>0</v>
      </c>
      <c r="AH867" s="3066">
        <v>0</v>
      </c>
      <c r="AI867" s="3066">
        <v>0</v>
      </c>
      <c r="AJ867" s="3066">
        <v>0</v>
      </c>
      <c r="AK867" s="3066">
        <v>0</v>
      </c>
      <c r="AL867" s="3066">
        <v>0</v>
      </c>
      <c r="AM867" s="3066">
        <v>0</v>
      </c>
      <c r="AN867" s="3066" t="s">
        <v>3560</v>
      </c>
      <c r="AP867" s="3068">
        <f t="shared" si="13"/>
        <v>0</v>
      </c>
    </row>
    <row r="868" spans="2:42" ht="27" customHeight="1">
      <c r="B868" s="3066">
        <v>876</v>
      </c>
      <c r="C868" s="3066" t="s">
        <v>6195</v>
      </c>
      <c r="D868" s="3066" t="s">
        <v>3915</v>
      </c>
      <c r="E868" s="3066" t="s">
        <v>6242</v>
      </c>
      <c r="F868" s="3066" t="s">
        <v>3917</v>
      </c>
      <c r="G868" s="3066" t="s">
        <v>1373</v>
      </c>
      <c r="H868" s="3066" t="s">
        <v>3560</v>
      </c>
      <c r="I868" s="3066" t="s">
        <v>6243</v>
      </c>
      <c r="J868" s="3066" t="s">
        <v>3560</v>
      </c>
      <c r="K868" s="3066" t="s">
        <v>3560</v>
      </c>
      <c r="L868" s="3066" t="s">
        <v>6244</v>
      </c>
      <c r="M868" s="3066" t="s">
        <v>6245</v>
      </c>
      <c r="N868" s="3066">
        <v>40.200000000000003</v>
      </c>
      <c r="O868" s="3066" t="s">
        <v>3950</v>
      </c>
      <c r="P868" s="3066" t="s">
        <v>3566</v>
      </c>
      <c r="Q868" s="3066">
        <v>1</v>
      </c>
      <c r="R868" s="3066">
        <v>4472</v>
      </c>
      <c r="S868" s="3066" t="s">
        <v>3567</v>
      </c>
      <c r="T868" s="3066">
        <v>21</v>
      </c>
      <c r="U868" s="3066">
        <v>844.2</v>
      </c>
      <c r="V868" s="3066" t="s">
        <v>3560</v>
      </c>
      <c r="W868" s="3066" t="s">
        <v>3568</v>
      </c>
      <c r="X868" s="3066">
        <v>2.25</v>
      </c>
      <c r="Y868" s="3066">
        <v>1084.8</v>
      </c>
      <c r="Z868" s="3066" t="s">
        <v>3568</v>
      </c>
      <c r="AA868" s="3066" t="s">
        <v>3560</v>
      </c>
      <c r="AB868" s="3066" t="s">
        <v>3951</v>
      </c>
      <c r="AC868" s="3066" t="s">
        <v>3951</v>
      </c>
      <c r="AD868" s="3066" t="s">
        <v>3951</v>
      </c>
      <c r="AE868" s="3066" t="s">
        <v>3560</v>
      </c>
      <c r="AF868" s="3067">
        <v>844.2</v>
      </c>
      <c r="AG868" s="3066">
        <v>0</v>
      </c>
      <c r="AH868" s="3066">
        <v>90.4</v>
      </c>
      <c r="AI868" s="3066">
        <v>0</v>
      </c>
      <c r="AJ868" s="3066">
        <v>88.89</v>
      </c>
      <c r="AK868" s="3066">
        <v>0</v>
      </c>
      <c r="AL868" s="3066">
        <v>1023.49</v>
      </c>
      <c r="AM868" s="3066">
        <v>0</v>
      </c>
      <c r="AN868" s="3066" t="s">
        <v>3560</v>
      </c>
      <c r="AP868" s="3068">
        <f t="shared" si="13"/>
        <v>21</v>
      </c>
    </row>
    <row r="869" spans="2:42" ht="27" customHeight="1">
      <c r="B869" s="3066">
        <v>877</v>
      </c>
      <c r="C869" s="3066" t="s">
        <v>6195</v>
      </c>
      <c r="D869" s="3066" t="s">
        <v>3915</v>
      </c>
      <c r="E869" s="3066" t="s">
        <v>6246</v>
      </c>
      <c r="F869" s="3066" t="s">
        <v>3917</v>
      </c>
      <c r="G869" s="3066" t="s">
        <v>1373</v>
      </c>
      <c r="H869" s="3066" t="s">
        <v>3560</v>
      </c>
      <c r="I869" s="3066" t="s">
        <v>6247</v>
      </c>
      <c r="J869" s="3066" t="s">
        <v>6248</v>
      </c>
      <c r="K869" s="3066" t="s">
        <v>3560</v>
      </c>
      <c r="L869" s="3066" t="s">
        <v>6249</v>
      </c>
      <c r="M869" s="3066" t="s">
        <v>6250</v>
      </c>
      <c r="N869" s="3066">
        <v>40.200000000000003</v>
      </c>
      <c r="O869" s="3066" t="s">
        <v>4008</v>
      </c>
      <c r="P869" s="3066" t="s">
        <v>3566</v>
      </c>
      <c r="Q869" s="3066">
        <v>1</v>
      </c>
      <c r="R869" s="3066">
        <v>4472</v>
      </c>
      <c r="S869" s="3066" t="s">
        <v>3567</v>
      </c>
      <c r="T869" s="3066">
        <v>20</v>
      </c>
      <c r="U869" s="3066">
        <v>804</v>
      </c>
      <c r="V869" s="3066" t="s">
        <v>3560</v>
      </c>
      <c r="W869" s="3066" t="s">
        <v>3568</v>
      </c>
      <c r="X869" s="3066">
        <v>2.25</v>
      </c>
      <c r="Y869" s="3066">
        <v>1084.8</v>
      </c>
      <c r="Z869" s="3066" t="s">
        <v>3568</v>
      </c>
      <c r="AA869" s="3066" t="s">
        <v>3560</v>
      </c>
      <c r="AB869" s="3066" t="s">
        <v>3692</v>
      </c>
      <c r="AC869" s="3066" t="s">
        <v>3692</v>
      </c>
      <c r="AD869" s="3066" t="s">
        <v>3692</v>
      </c>
      <c r="AE869" s="3066" t="s">
        <v>3560</v>
      </c>
      <c r="AF869" s="3067">
        <v>804</v>
      </c>
      <c r="AG869" s="3066">
        <v>804</v>
      </c>
      <c r="AH869" s="3066">
        <v>90.4</v>
      </c>
      <c r="AI869" s="3066">
        <v>90.4</v>
      </c>
      <c r="AJ869" s="3066">
        <v>78.349999999999994</v>
      </c>
      <c r="AK869" s="3066">
        <v>78.349999999999994</v>
      </c>
      <c r="AL869" s="3066">
        <v>972.75</v>
      </c>
      <c r="AM869" s="3066">
        <v>972.75</v>
      </c>
      <c r="AN869" s="3066" t="s">
        <v>3560</v>
      </c>
      <c r="AP869" s="3068">
        <f t="shared" si="13"/>
        <v>20</v>
      </c>
    </row>
    <row r="870" spans="2:42" ht="27" customHeight="1">
      <c r="B870" s="3066">
        <v>878</v>
      </c>
      <c r="C870" s="3066" t="s">
        <v>6195</v>
      </c>
      <c r="D870" s="3066" t="s">
        <v>3915</v>
      </c>
      <c r="E870" s="3066" t="s">
        <v>6251</v>
      </c>
      <c r="F870" s="3066" t="s">
        <v>3917</v>
      </c>
      <c r="G870" s="3066" t="s">
        <v>1373</v>
      </c>
      <c r="H870" s="3066" t="s">
        <v>3560</v>
      </c>
      <c r="I870" s="3066" t="s">
        <v>3695</v>
      </c>
      <c r="J870" s="3066" t="s">
        <v>3560</v>
      </c>
      <c r="K870" s="3066" t="s">
        <v>3560</v>
      </c>
      <c r="L870" s="3066" t="s">
        <v>3696</v>
      </c>
      <c r="M870" s="3066" t="s">
        <v>6252</v>
      </c>
      <c r="N870" s="3066">
        <v>40.200000000000003</v>
      </c>
      <c r="O870" s="3066" t="s">
        <v>4008</v>
      </c>
      <c r="P870" s="3066" t="s">
        <v>3566</v>
      </c>
      <c r="Q870" s="3066">
        <v>1</v>
      </c>
      <c r="R870" s="3066">
        <v>5366</v>
      </c>
      <c r="S870" s="3066" t="s">
        <v>3567</v>
      </c>
      <c r="T870" s="3066">
        <v>20</v>
      </c>
      <c r="U870" s="3066">
        <v>804</v>
      </c>
      <c r="V870" s="3066" t="s">
        <v>3560</v>
      </c>
      <c r="W870" s="3066" t="s">
        <v>3568</v>
      </c>
      <c r="X870" s="3066">
        <v>2.25</v>
      </c>
      <c r="Y870" s="3066">
        <v>1084.8</v>
      </c>
      <c r="Z870" s="3066" t="s">
        <v>3568</v>
      </c>
      <c r="AA870" s="3066" t="s">
        <v>3560</v>
      </c>
      <c r="AB870" s="3066" t="s">
        <v>3692</v>
      </c>
      <c r="AC870" s="3066" t="s">
        <v>3692</v>
      </c>
      <c r="AD870" s="3066" t="s">
        <v>3692</v>
      </c>
      <c r="AE870" s="3066" t="s">
        <v>3560</v>
      </c>
      <c r="AF870" s="3067">
        <v>804</v>
      </c>
      <c r="AG870" s="3066">
        <v>804</v>
      </c>
      <c r="AH870" s="3066">
        <v>90.4</v>
      </c>
      <c r="AI870" s="3066">
        <v>90.4</v>
      </c>
      <c r="AJ870" s="3066">
        <v>48.7</v>
      </c>
      <c r="AK870" s="3066">
        <v>48.7</v>
      </c>
      <c r="AL870" s="3066">
        <v>943.1</v>
      </c>
      <c r="AM870" s="3066">
        <v>943.1</v>
      </c>
      <c r="AN870" s="3066" t="s">
        <v>3560</v>
      </c>
      <c r="AP870" s="3068">
        <f t="shared" si="13"/>
        <v>20</v>
      </c>
    </row>
    <row r="871" spans="2:42" ht="27" customHeight="1">
      <c r="B871" s="3066">
        <v>879</v>
      </c>
      <c r="C871" s="3066" t="s">
        <v>6195</v>
      </c>
      <c r="D871" s="3066" t="s">
        <v>3915</v>
      </c>
      <c r="E871" s="3066" t="s">
        <v>6253</v>
      </c>
      <c r="F871" s="3066" t="s">
        <v>3917</v>
      </c>
      <c r="G871" s="3066" t="s">
        <v>1373</v>
      </c>
      <c r="H871" s="3066" t="s">
        <v>3560</v>
      </c>
      <c r="I871" s="3066" t="s">
        <v>3695</v>
      </c>
      <c r="J871" s="3066" t="s">
        <v>3560</v>
      </c>
      <c r="K871" s="3066" t="s">
        <v>3560</v>
      </c>
      <c r="L871" s="3066" t="s">
        <v>3696</v>
      </c>
      <c r="M871" s="3066" t="s">
        <v>6254</v>
      </c>
      <c r="N871" s="3066">
        <v>40.200000000000003</v>
      </c>
      <c r="O871" s="3066" t="s">
        <v>4008</v>
      </c>
      <c r="P871" s="3066" t="s">
        <v>3566</v>
      </c>
      <c r="Q871" s="3066">
        <v>1</v>
      </c>
      <c r="R871" s="3066">
        <v>0</v>
      </c>
      <c r="S871" s="3066" t="s">
        <v>3577</v>
      </c>
      <c r="T871" s="3066">
        <v>20</v>
      </c>
      <c r="U871" s="3066">
        <v>804</v>
      </c>
      <c r="V871" s="3066" t="s">
        <v>3560</v>
      </c>
      <c r="W871" s="3066" t="s">
        <v>3568</v>
      </c>
      <c r="X871" s="3066">
        <v>2.25</v>
      </c>
      <c r="Y871" s="3066">
        <v>1084.8</v>
      </c>
      <c r="Z871" s="3066" t="s">
        <v>3568</v>
      </c>
      <c r="AA871" s="3066" t="s">
        <v>3560</v>
      </c>
      <c r="AB871" s="3066" t="s">
        <v>3692</v>
      </c>
      <c r="AC871" s="3066" t="s">
        <v>3692</v>
      </c>
      <c r="AD871" s="3066" t="s">
        <v>3692</v>
      </c>
      <c r="AE871" s="3066" t="s">
        <v>3560</v>
      </c>
      <c r="AF871" s="3067">
        <v>804</v>
      </c>
      <c r="AG871" s="3066">
        <v>804</v>
      </c>
      <c r="AH871" s="3066">
        <v>90.4</v>
      </c>
      <c r="AI871" s="3066">
        <v>90.4</v>
      </c>
      <c r="AJ871" s="3066">
        <v>47.42</v>
      </c>
      <c r="AK871" s="3066">
        <v>47.42</v>
      </c>
      <c r="AL871" s="3066">
        <v>941.82</v>
      </c>
      <c r="AM871" s="3066">
        <v>941.82</v>
      </c>
      <c r="AN871" s="3066" t="s">
        <v>3560</v>
      </c>
      <c r="AP871" s="3068">
        <f t="shared" si="13"/>
        <v>20</v>
      </c>
    </row>
    <row r="872" spans="2:42" ht="27" customHeight="1">
      <c r="B872" s="3066">
        <v>880</v>
      </c>
      <c r="C872" s="3066" t="s">
        <v>6195</v>
      </c>
      <c r="D872" s="3066" t="s">
        <v>3915</v>
      </c>
      <c r="E872" s="3066" t="s">
        <v>6255</v>
      </c>
      <c r="F872" s="3066" t="s">
        <v>3917</v>
      </c>
      <c r="G872" s="3066" t="s">
        <v>1373</v>
      </c>
      <c r="H872" s="3066" t="s">
        <v>3560</v>
      </c>
      <c r="I872" s="3066" t="s">
        <v>6256</v>
      </c>
      <c r="J872" s="3066" t="s">
        <v>3560</v>
      </c>
      <c r="K872" s="3066" t="s">
        <v>3560</v>
      </c>
      <c r="L872" s="3066" t="s">
        <v>6257</v>
      </c>
      <c r="M872" s="3066" t="s">
        <v>6258</v>
      </c>
      <c r="N872" s="3066">
        <v>40.200000000000003</v>
      </c>
      <c r="O872" s="3066" t="s">
        <v>3619</v>
      </c>
      <c r="P872" s="3066" t="s">
        <v>3566</v>
      </c>
      <c r="Q872" s="3066">
        <v>1</v>
      </c>
      <c r="R872" s="3066">
        <v>4472</v>
      </c>
      <c r="S872" s="3066" t="s">
        <v>3567</v>
      </c>
      <c r="T872" s="3066">
        <v>21</v>
      </c>
      <c r="U872" s="3066">
        <v>844.2</v>
      </c>
      <c r="V872" s="3066" t="s">
        <v>3560</v>
      </c>
      <c r="W872" s="3066" t="s">
        <v>3568</v>
      </c>
      <c r="X872" s="3066">
        <v>2.25</v>
      </c>
      <c r="Y872" s="3066">
        <v>1084.8</v>
      </c>
      <c r="Z872" s="3066" t="s">
        <v>3568</v>
      </c>
      <c r="AA872" s="3066" t="s">
        <v>3560</v>
      </c>
      <c r="AB872" s="3066" t="s">
        <v>3584</v>
      </c>
      <c r="AC872" s="3066" t="s">
        <v>3584</v>
      </c>
      <c r="AD872" s="3066" t="s">
        <v>3584</v>
      </c>
      <c r="AE872" s="3066" t="s">
        <v>3560</v>
      </c>
      <c r="AF872" s="3067">
        <v>844.2</v>
      </c>
      <c r="AG872" s="3066">
        <v>844.2</v>
      </c>
      <c r="AH872" s="3066">
        <v>90.4</v>
      </c>
      <c r="AI872" s="3066">
        <v>90.4</v>
      </c>
      <c r="AJ872" s="3066">
        <v>76.510000000000005</v>
      </c>
      <c r="AK872" s="3066">
        <v>76.510000000000005</v>
      </c>
      <c r="AL872" s="3066">
        <v>1011.11</v>
      </c>
      <c r="AM872" s="3066">
        <v>1011.11</v>
      </c>
      <c r="AN872" s="3066" t="s">
        <v>3560</v>
      </c>
      <c r="AP872" s="3068">
        <f t="shared" si="13"/>
        <v>21</v>
      </c>
    </row>
    <row r="873" spans="2:42" ht="27" customHeight="1">
      <c r="B873" s="3066">
        <v>881</v>
      </c>
      <c r="C873" s="3066" t="s">
        <v>6195</v>
      </c>
      <c r="D873" s="3066" t="s">
        <v>3915</v>
      </c>
      <c r="E873" s="3066" t="s">
        <v>6259</v>
      </c>
      <c r="F873" s="3066" t="s">
        <v>3917</v>
      </c>
      <c r="G873" s="3066" t="s">
        <v>3560</v>
      </c>
      <c r="H873" s="3066" t="s">
        <v>3560</v>
      </c>
      <c r="I873" s="3066" t="s">
        <v>6260</v>
      </c>
      <c r="J873" s="3066" t="s">
        <v>6260</v>
      </c>
      <c r="K873" s="3066" t="s">
        <v>3560</v>
      </c>
      <c r="L873" s="3066" t="s">
        <v>3789</v>
      </c>
      <c r="M873" s="3066" t="s">
        <v>6261</v>
      </c>
      <c r="N873" s="3066">
        <v>40.200000000000003</v>
      </c>
      <c r="O873" s="3066" t="s">
        <v>4008</v>
      </c>
      <c r="P873" s="3066" t="s">
        <v>3566</v>
      </c>
      <c r="Q873" s="3066">
        <v>1</v>
      </c>
      <c r="R873" s="3066">
        <v>2683</v>
      </c>
      <c r="S873" s="3066" t="s">
        <v>3567</v>
      </c>
      <c r="T873" s="3066">
        <v>20</v>
      </c>
      <c r="U873" s="3066">
        <v>804</v>
      </c>
      <c r="V873" s="3066" t="s">
        <v>3560</v>
      </c>
      <c r="W873" s="3066" t="s">
        <v>3568</v>
      </c>
      <c r="X873" s="3066">
        <v>2.25</v>
      </c>
      <c r="Y873" s="3066">
        <v>1084.8</v>
      </c>
      <c r="Z873" s="3066" t="s">
        <v>3568</v>
      </c>
      <c r="AA873" s="3066" t="s">
        <v>3560</v>
      </c>
      <c r="AB873" s="3066" t="s">
        <v>3692</v>
      </c>
      <c r="AC873" s="3066" t="s">
        <v>3692</v>
      </c>
      <c r="AD873" s="3066" t="s">
        <v>3692</v>
      </c>
      <c r="AE873" s="3066" t="s">
        <v>3560</v>
      </c>
      <c r="AF873" s="3067">
        <v>804</v>
      </c>
      <c r="AG873" s="3066">
        <v>0</v>
      </c>
      <c r="AH873" s="3066">
        <v>90.4</v>
      </c>
      <c r="AI873" s="3066">
        <v>0</v>
      </c>
      <c r="AJ873" s="3066">
        <v>16.579999999999998</v>
      </c>
      <c r="AK873" s="3066">
        <v>0</v>
      </c>
      <c r="AL873" s="3066">
        <v>910.98</v>
      </c>
      <c r="AM873" s="3066">
        <v>0</v>
      </c>
      <c r="AN873" s="3066" t="s">
        <v>3560</v>
      </c>
      <c r="AP873" s="3068">
        <f t="shared" si="13"/>
        <v>20</v>
      </c>
    </row>
    <row r="874" spans="2:42" ht="27" customHeight="1">
      <c r="B874" s="3066">
        <v>882</v>
      </c>
      <c r="C874" s="3066" t="s">
        <v>6195</v>
      </c>
      <c r="D874" s="3066" t="s">
        <v>3915</v>
      </c>
      <c r="E874" s="3066" t="s">
        <v>6262</v>
      </c>
      <c r="F874" s="3066" t="s">
        <v>3917</v>
      </c>
      <c r="G874" s="3066" t="s">
        <v>1373</v>
      </c>
      <c r="H874" s="3066" t="s">
        <v>3560</v>
      </c>
      <c r="I874" s="3066" t="s">
        <v>3593</v>
      </c>
      <c r="J874" s="3066" t="s">
        <v>3594</v>
      </c>
      <c r="K874" s="3066" t="s">
        <v>3560</v>
      </c>
      <c r="L874" s="3066" t="s">
        <v>3595</v>
      </c>
      <c r="M874" s="3066" t="s">
        <v>6263</v>
      </c>
      <c r="N874" s="3066">
        <v>40.200000000000003</v>
      </c>
      <c r="O874" s="3066" t="s">
        <v>5273</v>
      </c>
      <c r="P874" s="3066" t="s">
        <v>3566</v>
      </c>
      <c r="Q874" s="3066">
        <v>0</v>
      </c>
      <c r="R874" s="3066">
        <v>2653.2</v>
      </c>
      <c r="S874" s="3066" t="s">
        <v>3567</v>
      </c>
      <c r="T874" s="3066">
        <v>20</v>
      </c>
      <c r="U874" s="3066">
        <v>804</v>
      </c>
      <c r="V874" s="3066" t="s">
        <v>3560</v>
      </c>
      <c r="W874" s="3066" t="s">
        <v>3568</v>
      </c>
      <c r="X874" s="3066">
        <v>2</v>
      </c>
      <c r="Y874" s="3066">
        <v>964.8</v>
      </c>
      <c r="Z874" s="3066" t="s">
        <v>3568</v>
      </c>
      <c r="AA874" s="3066" t="s">
        <v>3560</v>
      </c>
      <c r="AB874" s="3066" t="s">
        <v>5274</v>
      </c>
      <c r="AC874" s="3066" t="s">
        <v>5274</v>
      </c>
      <c r="AD874" s="3066" t="s">
        <v>5274</v>
      </c>
      <c r="AE874" s="3066" t="s">
        <v>3560</v>
      </c>
      <c r="AF874" s="3067">
        <v>804</v>
      </c>
      <c r="AG874" s="3066">
        <v>0</v>
      </c>
      <c r="AH874" s="3066">
        <v>80.400000000000006</v>
      </c>
      <c r="AI874" s="3066">
        <v>0</v>
      </c>
      <c r="AJ874" s="3066">
        <v>12.87</v>
      </c>
      <c r="AK874" s="3066">
        <v>0</v>
      </c>
      <c r="AL874" s="3066">
        <v>897.27</v>
      </c>
      <c r="AM874" s="3066">
        <v>0</v>
      </c>
      <c r="AN874" s="3066" t="s">
        <v>3560</v>
      </c>
      <c r="AP874" s="3068">
        <f t="shared" si="13"/>
        <v>20</v>
      </c>
    </row>
    <row r="875" spans="2:42" ht="27" customHeight="1">
      <c r="B875" s="3066">
        <v>883</v>
      </c>
      <c r="C875" s="3066" t="s">
        <v>6195</v>
      </c>
      <c r="D875" s="3066" t="s">
        <v>3915</v>
      </c>
      <c r="E875" s="3066" t="s">
        <v>6264</v>
      </c>
      <c r="F875" s="3066" t="s">
        <v>3917</v>
      </c>
      <c r="G875" s="3066" t="s">
        <v>1373</v>
      </c>
      <c r="H875" s="3066" t="s">
        <v>3560</v>
      </c>
      <c r="I875" s="3066" t="s">
        <v>3766</v>
      </c>
      <c r="J875" s="3066" t="s">
        <v>3767</v>
      </c>
      <c r="K875" s="3066" t="s">
        <v>3560</v>
      </c>
      <c r="L875" s="3066" t="s">
        <v>3768</v>
      </c>
      <c r="M875" s="3066" t="s">
        <v>6265</v>
      </c>
      <c r="N875" s="3066">
        <v>40.200000000000003</v>
      </c>
      <c r="O875" s="3066" t="s">
        <v>4008</v>
      </c>
      <c r="P875" s="3066" t="s">
        <v>3566</v>
      </c>
      <c r="Q875" s="3066">
        <v>1</v>
      </c>
      <c r="R875" s="3066">
        <v>2653.2</v>
      </c>
      <c r="S875" s="3066" t="s">
        <v>3567</v>
      </c>
      <c r="T875" s="3066">
        <v>20</v>
      </c>
      <c r="U875" s="3066">
        <v>804</v>
      </c>
      <c r="V875" s="3066" t="s">
        <v>3560</v>
      </c>
      <c r="W875" s="3066" t="s">
        <v>3568</v>
      </c>
      <c r="X875" s="3066">
        <v>2</v>
      </c>
      <c r="Y875" s="3066">
        <v>964.8</v>
      </c>
      <c r="Z875" s="3066" t="s">
        <v>3568</v>
      </c>
      <c r="AA875" s="3066" t="s">
        <v>3560</v>
      </c>
      <c r="AB875" s="3066" t="s">
        <v>3692</v>
      </c>
      <c r="AC875" s="3066" t="s">
        <v>3692</v>
      </c>
      <c r="AD875" s="3066" t="s">
        <v>3692</v>
      </c>
      <c r="AE875" s="3066" t="s">
        <v>3560</v>
      </c>
      <c r="AF875" s="3067">
        <v>804</v>
      </c>
      <c r="AG875" s="3066">
        <v>0</v>
      </c>
      <c r="AH875" s="3066">
        <v>80.400000000000006</v>
      </c>
      <c r="AI875" s="3066">
        <v>0</v>
      </c>
      <c r="AJ875" s="3066">
        <v>14.99</v>
      </c>
      <c r="AK875" s="3066">
        <v>0</v>
      </c>
      <c r="AL875" s="3066">
        <v>899.39</v>
      </c>
      <c r="AM875" s="3066">
        <v>0</v>
      </c>
      <c r="AN875" s="3066" t="s">
        <v>3560</v>
      </c>
      <c r="AP875" s="3068">
        <f t="shared" si="13"/>
        <v>20</v>
      </c>
    </row>
    <row r="876" spans="2:42" ht="27" customHeight="1">
      <c r="B876" s="3066">
        <v>884</v>
      </c>
      <c r="C876" s="3066" t="s">
        <v>6195</v>
      </c>
      <c r="D876" s="3066" t="s">
        <v>3915</v>
      </c>
      <c r="E876" s="3066" t="s">
        <v>6266</v>
      </c>
      <c r="F876" s="3066" t="s">
        <v>3917</v>
      </c>
      <c r="G876" s="3066" t="s">
        <v>3560</v>
      </c>
      <c r="H876" s="3066" t="s">
        <v>3560</v>
      </c>
      <c r="I876" s="3066" t="s">
        <v>3560</v>
      </c>
      <c r="J876" s="3066" t="s">
        <v>3560</v>
      </c>
      <c r="K876" s="3066" t="s">
        <v>3560</v>
      </c>
      <c r="L876" s="3066" t="s">
        <v>3560</v>
      </c>
      <c r="M876" s="3066" t="s">
        <v>6267</v>
      </c>
      <c r="N876" s="3066">
        <v>40.200000000000003</v>
      </c>
      <c r="O876" s="3066" t="s">
        <v>3560</v>
      </c>
      <c r="P876" s="3066" t="s">
        <v>3560</v>
      </c>
      <c r="Q876" s="3066">
        <v>0</v>
      </c>
      <c r="R876" s="3066">
        <v>0</v>
      </c>
      <c r="S876" s="3066" t="s">
        <v>3577</v>
      </c>
      <c r="T876" s="3066">
        <v>0</v>
      </c>
      <c r="U876" s="3066">
        <v>0</v>
      </c>
      <c r="V876" s="3066" t="s">
        <v>3560</v>
      </c>
      <c r="W876" s="3066" t="s">
        <v>3568</v>
      </c>
      <c r="X876" s="3066">
        <v>0</v>
      </c>
      <c r="Y876" s="3066">
        <v>0</v>
      </c>
      <c r="Z876" s="3066" t="s">
        <v>3568</v>
      </c>
      <c r="AA876" s="3066" t="s">
        <v>3560</v>
      </c>
      <c r="AB876" s="3066" t="s">
        <v>3560</v>
      </c>
      <c r="AC876" s="3066" t="s">
        <v>3560</v>
      </c>
      <c r="AD876" s="3066" t="s">
        <v>3560</v>
      </c>
      <c r="AE876" s="3066" t="s">
        <v>3560</v>
      </c>
      <c r="AF876" s="3067">
        <v>0</v>
      </c>
      <c r="AG876" s="3066">
        <v>0</v>
      </c>
      <c r="AH876" s="3066">
        <v>0</v>
      </c>
      <c r="AI876" s="3066">
        <v>0</v>
      </c>
      <c r="AJ876" s="3066">
        <v>0</v>
      </c>
      <c r="AK876" s="3066">
        <v>0</v>
      </c>
      <c r="AL876" s="3066">
        <v>0</v>
      </c>
      <c r="AM876" s="3066">
        <v>0</v>
      </c>
      <c r="AN876" s="3066" t="s">
        <v>3560</v>
      </c>
      <c r="AP876" s="3068">
        <f t="shared" si="13"/>
        <v>0</v>
      </c>
    </row>
    <row r="877" spans="2:42" ht="27" customHeight="1">
      <c r="B877" s="3066">
        <v>885</v>
      </c>
      <c r="C877" s="3066" t="s">
        <v>6195</v>
      </c>
      <c r="D877" s="3066" t="s">
        <v>3915</v>
      </c>
      <c r="E877" s="3066" t="s">
        <v>6268</v>
      </c>
      <c r="F877" s="3066" t="s">
        <v>3917</v>
      </c>
      <c r="G877" s="3066" t="s">
        <v>3560</v>
      </c>
      <c r="H877" s="3066" t="s">
        <v>3560</v>
      </c>
      <c r="I877" s="3066" t="s">
        <v>6269</v>
      </c>
      <c r="J877" s="3066" t="s">
        <v>6269</v>
      </c>
      <c r="K877" s="3066" t="s">
        <v>3560</v>
      </c>
      <c r="L877" s="3066" t="s">
        <v>3669</v>
      </c>
      <c r="M877" s="3066" t="s">
        <v>6270</v>
      </c>
      <c r="N877" s="3066">
        <v>40.200000000000003</v>
      </c>
      <c r="O877" s="3066" t="s">
        <v>5907</v>
      </c>
      <c r="P877" s="3066" t="s">
        <v>3566</v>
      </c>
      <c r="Q877" s="3066">
        <v>0</v>
      </c>
      <c r="R877" s="3066">
        <v>2683</v>
      </c>
      <c r="S877" s="3066" t="s">
        <v>3567</v>
      </c>
      <c r="T877" s="3066">
        <v>20</v>
      </c>
      <c r="U877" s="3066">
        <v>804</v>
      </c>
      <c r="V877" s="3066" t="s">
        <v>3560</v>
      </c>
      <c r="W877" s="3066" t="s">
        <v>3568</v>
      </c>
      <c r="X877" s="3066">
        <v>2.25</v>
      </c>
      <c r="Y877" s="3066">
        <v>1084.8</v>
      </c>
      <c r="Z877" s="3066" t="s">
        <v>3568</v>
      </c>
      <c r="AA877" s="3066" t="s">
        <v>3560</v>
      </c>
      <c r="AB877" s="3066" t="s">
        <v>5908</v>
      </c>
      <c r="AC877" s="3066" t="s">
        <v>5908</v>
      </c>
      <c r="AD877" s="3066" t="s">
        <v>5908</v>
      </c>
      <c r="AE877" s="3066" t="s">
        <v>3560</v>
      </c>
      <c r="AF877" s="3067">
        <v>804</v>
      </c>
      <c r="AG877" s="3066">
        <v>804</v>
      </c>
      <c r="AH877" s="3066">
        <v>90.4</v>
      </c>
      <c r="AI877" s="3066">
        <v>90.4</v>
      </c>
      <c r="AJ877" s="3066">
        <v>49.72</v>
      </c>
      <c r="AK877" s="3066">
        <v>49.72</v>
      </c>
      <c r="AL877" s="3066">
        <v>944.12</v>
      </c>
      <c r="AM877" s="3066">
        <v>944.12</v>
      </c>
      <c r="AN877" s="3066" t="s">
        <v>3560</v>
      </c>
      <c r="AP877" s="3068">
        <f t="shared" si="13"/>
        <v>20</v>
      </c>
    </row>
    <row r="878" spans="2:42" ht="27" customHeight="1">
      <c r="B878" s="3066">
        <v>886</v>
      </c>
      <c r="C878" s="3066" t="s">
        <v>6195</v>
      </c>
      <c r="D878" s="3066" t="s">
        <v>3926</v>
      </c>
      <c r="E878" s="3066" t="s">
        <v>6271</v>
      </c>
      <c r="F878" s="3066" t="s">
        <v>3917</v>
      </c>
      <c r="G878" s="3066" t="s">
        <v>1373</v>
      </c>
      <c r="H878" s="3066" t="s">
        <v>3560</v>
      </c>
      <c r="I878" s="3066" t="s">
        <v>4562</v>
      </c>
      <c r="J878" s="3066" t="s">
        <v>3560</v>
      </c>
      <c r="K878" s="3066" t="s">
        <v>3560</v>
      </c>
      <c r="L878" s="3066" t="s">
        <v>3905</v>
      </c>
      <c r="M878" s="3066" t="s">
        <v>6272</v>
      </c>
      <c r="N878" s="3066">
        <v>40.200000000000003</v>
      </c>
      <c r="O878" s="3066" t="s">
        <v>6273</v>
      </c>
      <c r="P878" s="3066" t="s">
        <v>3566</v>
      </c>
      <c r="Q878" s="3066">
        <v>0</v>
      </c>
      <c r="R878" s="3066">
        <v>2683</v>
      </c>
      <c r="S878" s="3066" t="s">
        <v>3567</v>
      </c>
      <c r="T878" s="3066">
        <v>20</v>
      </c>
      <c r="U878" s="3066">
        <v>804</v>
      </c>
      <c r="V878" s="3066" t="s">
        <v>3560</v>
      </c>
      <c r="W878" s="3066" t="s">
        <v>3568</v>
      </c>
      <c r="X878" s="3066">
        <v>2.25</v>
      </c>
      <c r="Y878" s="3066">
        <v>1084.8</v>
      </c>
      <c r="Z878" s="3066" t="s">
        <v>3568</v>
      </c>
      <c r="AA878" s="3066" t="s">
        <v>3560</v>
      </c>
      <c r="AB878" s="3066" t="s">
        <v>4369</v>
      </c>
      <c r="AC878" s="3066" t="s">
        <v>4369</v>
      </c>
      <c r="AD878" s="3066" t="s">
        <v>4369</v>
      </c>
      <c r="AE878" s="3066" t="s">
        <v>3560</v>
      </c>
      <c r="AF878" s="3067">
        <v>804</v>
      </c>
      <c r="AG878" s="3066">
        <v>804</v>
      </c>
      <c r="AH878" s="3066">
        <v>90.4</v>
      </c>
      <c r="AI878" s="3066">
        <v>90.4</v>
      </c>
      <c r="AJ878" s="3066">
        <v>73.59</v>
      </c>
      <c r="AK878" s="3066">
        <v>73.59</v>
      </c>
      <c r="AL878" s="3066">
        <v>967.99</v>
      </c>
      <c r="AM878" s="3066">
        <v>967.99</v>
      </c>
      <c r="AN878" s="3066" t="s">
        <v>3560</v>
      </c>
      <c r="AP878" s="3068">
        <f t="shared" si="13"/>
        <v>20</v>
      </c>
    </row>
    <row r="879" spans="2:42" ht="27" customHeight="1">
      <c r="B879" s="3066">
        <v>887</v>
      </c>
      <c r="C879" s="3066" t="s">
        <v>6195</v>
      </c>
      <c r="D879" s="3066" t="s">
        <v>3926</v>
      </c>
      <c r="E879" s="3066" t="s">
        <v>6274</v>
      </c>
      <c r="F879" s="3066" t="s">
        <v>3917</v>
      </c>
      <c r="G879" s="3066" t="s">
        <v>1373</v>
      </c>
      <c r="H879" s="3066" t="s">
        <v>3560</v>
      </c>
      <c r="I879" s="3066" t="s">
        <v>3759</v>
      </c>
      <c r="J879" s="3066" t="s">
        <v>3760</v>
      </c>
      <c r="K879" s="3066" t="s">
        <v>3560</v>
      </c>
      <c r="L879" s="3066" t="s">
        <v>3761</v>
      </c>
      <c r="M879" s="3066" t="s">
        <v>6275</v>
      </c>
      <c r="N879" s="3066">
        <v>40.200000000000003</v>
      </c>
      <c r="O879" s="3066" t="s">
        <v>4516</v>
      </c>
      <c r="P879" s="3066" t="s">
        <v>3566</v>
      </c>
      <c r="Q879" s="3066">
        <v>0</v>
      </c>
      <c r="R879" s="3066">
        <v>1395.2</v>
      </c>
      <c r="S879" s="3066" t="s">
        <v>3567</v>
      </c>
      <c r="T879" s="3066">
        <v>20</v>
      </c>
      <c r="U879" s="3066">
        <v>804</v>
      </c>
      <c r="V879" s="3066" t="s">
        <v>3560</v>
      </c>
      <c r="W879" s="3066" t="s">
        <v>3568</v>
      </c>
      <c r="X879" s="3066">
        <v>2</v>
      </c>
      <c r="Y879" s="3066">
        <v>964.8</v>
      </c>
      <c r="Z879" s="3066" t="s">
        <v>3568</v>
      </c>
      <c r="AA879" s="3066" t="s">
        <v>3560</v>
      </c>
      <c r="AB879" s="3066" t="s">
        <v>3584</v>
      </c>
      <c r="AC879" s="3066" t="s">
        <v>3584</v>
      </c>
      <c r="AD879" s="3066" t="s">
        <v>3584</v>
      </c>
      <c r="AE879" s="3066" t="s">
        <v>3560</v>
      </c>
      <c r="AF879" s="3067">
        <v>804</v>
      </c>
      <c r="AG879" s="3066">
        <v>0</v>
      </c>
      <c r="AH879" s="3066">
        <v>80.400000000000006</v>
      </c>
      <c r="AI879" s="3066">
        <v>0</v>
      </c>
      <c r="AJ879" s="3066">
        <v>43.97</v>
      </c>
      <c r="AK879" s="3066">
        <v>0</v>
      </c>
      <c r="AL879" s="3066">
        <v>928.37</v>
      </c>
      <c r="AM879" s="3066">
        <v>0</v>
      </c>
      <c r="AN879" s="3066" t="s">
        <v>3560</v>
      </c>
      <c r="AP879" s="3068">
        <f t="shared" si="13"/>
        <v>20</v>
      </c>
    </row>
    <row r="880" spans="2:42" ht="27" customHeight="1">
      <c r="B880" s="3066">
        <v>888</v>
      </c>
      <c r="C880" s="3066" t="s">
        <v>6195</v>
      </c>
      <c r="D880" s="3066" t="s">
        <v>3926</v>
      </c>
      <c r="E880" s="3066" t="s">
        <v>6276</v>
      </c>
      <c r="F880" s="3066" t="s">
        <v>3917</v>
      </c>
      <c r="G880" s="3066" t="s">
        <v>1373</v>
      </c>
      <c r="H880" s="3066" t="s">
        <v>3560</v>
      </c>
      <c r="I880" s="3066" t="s">
        <v>6277</v>
      </c>
      <c r="J880" s="3066" t="s">
        <v>3560</v>
      </c>
      <c r="K880" s="3066" t="s">
        <v>3560</v>
      </c>
      <c r="L880" s="3066" t="s">
        <v>6278</v>
      </c>
      <c r="M880" s="3066" t="s">
        <v>6279</v>
      </c>
      <c r="N880" s="3066">
        <v>40.200000000000003</v>
      </c>
      <c r="O880" s="3066" t="s">
        <v>3619</v>
      </c>
      <c r="P880" s="3066" t="s">
        <v>3566</v>
      </c>
      <c r="Q880" s="3066">
        <v>1</v>
      </c>
      <c r="R880" s="3066">
        <v>4472</v>
      </c>
      <c r="S880" s="3066" t="s">
        <v>3567</v>
      </c>
      <c r="T880" s="3066">
        <v>20</v>
      </c>
      <c r="U880" s="3066">
        <v>804</v>
      </c>
      <c r="V880" s="3066" t="s">
        <v>3560</v>
      </c>
      <c r="W880" s="3066" t="s">
        <v>3568</v>
      </c>
      <c r="X880" s="3066">
        <v>2.25</v>
      </c>
      <c r="Y880" s="3066">
        <v>1084.8</v>
      </c>
      <c r="Z880" s="3066" t="s">
        <v>3568</v>
      </c>
      <c r="AA880" s="3066" t="s">
        <v>3560</v>
      </c>
      <c r="AB880" s="3066" t="s">
        <v>3584</v>
      </c>
      <c r="AC880" s="3066" t="s">
        <v>3584</v>
      </c>
      <c r="AD880" s="3066" t="s">
        <v>3584</v>
      </c>
      <c r="AE880" s="3066" t="s">
        <v>3560</v>
      </c>
      <c r="AF880" s="3067">
        <v>804</v>
      </c>
      <c r="AG880" s="3066">
        <v>0</v>
      </c>
      <c r="AH880" s="3066">
        <v>90.4</v>
      </c>
      <c r="AI880" s="3066">
        <v>0</v>
      </c>
      <c r="AJ880" s="3066">
        <v>35.36</v>
      </c>
      <c r="AK880" s="3066">
        <v>0</v>
      </c>
      <c r="AL880" s="3066">
        <v>929.76</v>
      </c>
      <c r="AM880" s="3066">
        <v>0</v>
      </c>
      <c r="AN880" s="3066" t="s">
        <v>3560</v>
      </c>
      <c r="AP880" s="3068">
        <f t="shared" si="13"/>
        <v>20</v>
      </c>
    </row>
    <row r="881" spans="2:42" ht="27" customHeight="1">
      <c r="B881" s="3066">
        <v>889</v>
      </c>
      <c r="C881" s="3066" t="s">
        <v>6195</v>
      </c>
      <c r="D881" s="3066" t="s">
        <v>3926</v>
      </c>
      <c r="E881" s="3066" t="s">
        <v>6280</v>
      </c>
      <c r="F881" s="3066" t="s">
        <v>3917</v>
      </c>
      <c r="G881" s="3066" t="s">
        <v>1373</v>
      </c>
      <c r="H881" s="3066" t="s">
        <v>3560</v>
      </c>
      <c r="I881" s="3066" t="s">
        <v>3832</v>
      </c>
      <c r="J881" s="3066" t="s">
        <v>3833</v>
      </c>
      <c r="K881" s="3066" t="s">
        <v>3560</v>
      </c>
      <c r="L881" s="3066" t="s">
        <v>3834</v>
      </c>
      <c r="M881" s="3066" t="s">
        <v>6281</v>
      </c>
      <c r="N881" s="3066">
        <v>40.200000000000003</v>
      </c>
      <c r="O881" s="3066" t="s">
        <v>3619</v>
      </c>
      <c r="P881" s="3066" t="s">
        <v>3566</v>
      </c>
      <c r="Q881" s="3066">
        <v>1</v>
      </c>
      <c r="R881" s="3066">
        <v>507.24</v>
      </c>
      <c r="S881" s="3066" t="s">
        <v>3567</v>
      </c>
      <c r="T881" s="3066">
        <v>20</v>
      </c>
      <c r="U881" s="3066">
        <v>804</v>
      </c>
      <c r="V881" s="3066" t="s">
        <v>3560</v>
      </c>
      <c r="W881" s="3066" t="s">
        <v>3568</v>
      </c>
      <c r="X881" s="3066">
        <v>2</v>
      </c>
      <c r="Y881" s="3066">
        <v>964.8</v>
      </c>
      <c r="Z881" s="3066" t="s">
        <v>3568</v>
      </c>
      <c r="AA881" s="3066" t="s">
        <v>3560</v>
      </c>
      <c r="AB881" s="3066" t="s">
        <v>3584</v>
      </c>
      <c r="AC881" s="3066" t="s">
        <v>3584</v>
      </c>
      <c r="AD881" s="3066" t="s">
        <v>3584</v>
      </c>
      <c r="AE881" s="3066" t="s">
        <v>3560</v>
      </c>
      <c r="AF881" s="3067">
        <v>804</v>
      </c>
      <c r="AG881" s="3066">
        <v>804</v>
      </c>
      <c r="AH881" s="3066">
        <v>80.400000000000006</v>
      </c>
      <c r="AI881" s="3066">
        <v>80.400000000000006</v>
      </c>
      <c r="AJ881" s="3066">
        <v>96.4</v>
      </c>
      <c r="AK881" s="3066">
        <v>96.4</v>
      </c>
      <c r="AL881" s="3066">
        <v>980.8</v>
      </c>
      <c r="AM881" s="3066">
        <v>980.8</v>
      </c>
      <c r="AN881" s="3066" t="s">
        <v>3560</v>
      </c>
      <c r="AP881" s="3068">
        <f t="shared" si="13"/>
        <v>20</v>
      </c>
    </row>
    <row r="882" spans="2:42" ht="27" customHeight="1">
      <c r="B882" s="3066">
        <v>890</v>
      </c>
      <c r="C882" s="3066" t="s">
        <v>6195</v>
      </c>
      <c r="D882" s="3066" t="s">
        <v>3926</v>
      </c>
      <c r="E882" s="3066" t="s">
        <v>6282</v>
      </c>
      <c r="F882" s="3066" t="s">
        <v>3917</v>
      </c>
      <c r="G882" s="3066" t="s">
        <v>1373</v>
      </c>
      <c r="H882" s="3066" t="s">
        <v>3560</v>
      </c>
      <c r="I882" s="3066" t="s">
        <v>3832</v>
      </c>
      <c r="J882" s="3066" t="s">
        <v>3833</v>
      </c>
      <c r="K882" s="3066" t="s">
        <v>3560</v>
      </c>
      <c r="L882" s="3066" t="s">
        <v>3834</v>
      </c>
      <c r="M882" s="3066" t="s">
        <v>6283</v>
      </c>
      <c r="N882" s="3066">
        <v>40.200000000000003</v>
      </c>
      <c r="O882" s="3066" t="s">
        <v>3919</v>
      </c>
      <c r="P882" s="3066" t="s">
        <v>3566</v>
      </c>
      <c r="Q882" s="3066">
        <v>1</v>
      </c>
      <c r="R882" s="3066">
        <v>5306.4</v>
      </c>
      <c r="S882" s="3066" t="s">
        <v>3567</v>
      </c>
      <c r="T882" s="3066">
        <v>20</v>
      </c>
      <c r="U882" s="3066">
        <v>804</v>
      </c>
      <c r="V882" s="3066" t="s">
        <v>3560</v>
      </c>
      <c r="W882" s="3066" t="s">
        <v>3568</v>
      </c>
      <c r="X882" s="3066">
        <v>2</v>
      </c>
      <c r="Y882" s="3066">
        <v>964.8</v>
      </c>
      <c r="Z882" s="3066" t="s">
        <v>3568</v>
      </c>
      <c r="AA882" s="3066" t="s">
        <v>3560</v>
      </c>
      <c r="AB882" s="3066" t="s">
        <v>3920</v>
      </c>
      <c r="AC882" s="3066" t="s">
        <v>3920</v>
      </c>
      <c r="AD882" s="3066" t="s">
        <v>3920</v>
      </c>
      <c r="AE882" s="3066" t="s">
        <v>3560</v>
      </c>
      <c r="AF882" s="3067">
        <v>804</v>
      </c>
      <c r="AG882" s="3066">
        <v>804</v>
      </c>
      <c r="AH882" s="3066">
        <v>80.400000000000006</v>
      </c>
      <c r="AI882" s="3066">
        <v>80.400000000000006</v>
      </c>
      <c r="AJ882" s="3066">
        <v>301.75</v>
      </c>
      <c r="AK882" s="3066">
        <v>301.75</v>
      </c>
      <c r="AL882" s="3066">
        <v>1186.1500000000001</v>
      </c>
      <c r="AM882" s="3066">
        <v>1186.1500000000001</v>
      </c>
      <c r="AN882" s="3066" t="s">
        <v>3560</v>
      </c>
      <c r="AP882" s="3068">
        <f t="shared" si="13"/>
        <v>20</v>
      </c>
    </row>
    <row r="883" spans="2:42" ht="27" customHeight="1">
      <c r="B883" s="3066">
        <v>891</v>
      </c>
      <c r="C883" s="3066" t="s">
        <v>6195</v>
      </c>
      <c r="D883" s="3066" t="s">
        <v>3926</v>
      </c>
      <c r="E883" s="3066" t="s">
        <v>6284</v>
      </c>
      <c r="F883" s="3066" t="s">
        <v>3917</v>
      </c>
      <c r="G883" s="3066" t="s">
        <v>1373</v>
      </c>
      <c r="H883" s="3066" t="s">
        <v>3560</v>
      </c>
      <c r="I883" s="3066" t="s">
        <v>3832</v>
      </c>
      <c r="J883" s="3066" t="s">
        <v>3833</v>
      </c>
      <c r="K883" s="3066" t="s">
        <v>3560</v>
      </c>
      <c r="L883" s="3066" t="s">
        <v>3834</v>
      </c>
      <c r="M883" s="3066" t="s">
        <v>6285</v>
      </c>
      <c r="N883" s="3066">
        <v>40.200000000000003</v>
      </c>
      <c r="O883" s="3066" t="s">
        <v>3919</v>
      </c>
      <c r="P883" s="3066" t="s">
        <v>3566</v>
      </c>
      <c r="Q883" s="3066">
        <v>1</v>
      </c>
      <c r="R883" s="3066">
        <v>0</v>
      </c>
      <c r="S883" s="3066" t="s">
        <v>3577</v>
      </c>
      <c r="T883" s="3066">
        <v>20</v>
      </c>
      <c r="U883" s="3066">
        <v>804</v>
      </c>
      <c r="V883" s="3066" t="s">
        <v>3560</v>
      </c>
      <c r="W883" s="3066" t="s">
        <v>3568</v>
      </c>
      <c r="X883" s="3066">
        <v>2</v>
      </c>
      <c r="Y883" s="3066">
        <v>964.8</v>
      </c>
      <c r="Z883" s="3066" t="s">
        <v>3568</v>
      </c>
      <c r="AA883" s="3066" t="s">
        <v>3560</v>
      </c>
      <c r="AB883" s="3066" t="s">
        <v>3920</v>
      </c>
      <c r="AC883" s="3066" t="s">
        <v>3920</v>
      </c>
      <c r="AD883" s="3066" t="s">
        <v>3920</v>
      </c>
      <c r="AE883" s="3066" t="s">
        <v>3560</v>
      </c>
      <c r="AF883" s="3067">
        <v>804</v>
      </c>
      <c r="AG883" s="3066">
        <v>804</v>
      </c>
      <c r="AH883" s="3066">
        <v>80.400000000000006</v>
      </c>
      <c r="AI883" s="3066">
        <v>80.400000000000006</v>
      </c>
      <c r="AJ883" s="3066">
        <v>17.600000000000001</v>
      </c>
      <c r="AK883" s="3066">
        <v>17.600000000000001</v>
      </c>
      <c r="AL883" s="3066">
        <v>902</v>
      </c>
      <c r="AM883" s="3066">
        <v>902</v>
      </c>
      <c r="AN883" s="3066" t="s">
        <v>3560</v>
      </c>
      <c r="AP883" s="3068">
        <f t="shared" si="13"/>
        <v>20</v>
      </c>
    </row>
    <row r="884" spans="2:42" ht="27" customHeight="1">
      <c r="B884" s="3066">
        <v>892</v>
      </c>
      <c r="C884" s="3066" t="s">
        <v>6195</v>
      </c>
      <c r="D884" s="3066" t="s">
        <v>3926</v>
      </c>
      <c r="E884" s="3066" t="s">
        <v>6286</v>
      </c>
      <c r="F884" s="3066" t="s">
        <v>3917</v>
      </c>
      <c r="G884" s="3066" t="s">
        <v>1373</v>
      </c>
      <c r="H884" s="3066" t="s">
        <v>3560</v>
      </c>
      <c r="I884" s="3066" t="s">
        <v>3737</v>
      </c>
      <c r="J884" s="3066" t="s">
        <v>3633</v>
      </c>
      <c r="K884" s="3066" t="s">
        <v>3560</v>
      </c>
      <c r="L884" s="3066" t="s">
        <v>3634</v>
      </c>
      <c r="M884" s="3066" t="s">
        <v>6287</v>
      </c>
      <c r="N884" s="3066">
        <v>40.200000000000003</v>
      </c>
      <c r="O884" s="3066" t="s">
        <v>3919</v>
      </c>
      <c r="P884" s="3066" t="s">
        <v>3566</v>
      </c>
      <c r="Q884" s="3066">
        <v>1</v>
      </c>
      <c r="R884" s="3066">
        <v>748.2</v>
      </c>
      <c r="S884" s="3066" t="s">
        <v>3567</v>
      </c>
      <c r="T884" s="3066">
        <v>20</v>
      </c>
      <c r="U884" s="3066">
        <v>804</v>
      </c>
      <c r="V884" s="3066" t="s">
        <v>3560</v>
      </c>
      <c r="W884" s="3066" t="s">
        <v>3568</v>
      </c>
      <c r="X884" s="3066">
        <v>2</v>
      </c>
      <c r="Y884" s="3066">
        <v>964.8</v>
      </c>
      <c r="Z884" s="3066" t="s">
        <v>3568</v>
      </c>
      <c r="AA884" s="3066" t="s">
        <v>3560</v>
      </c>
      <c r="AB884" s="3066" t="s">
        <v>3920</v>
      </c>
      <c r="AC884" s="3066" t="s">
        <v>3920</v>
      </c>
      <c r="AD884" s="3066" t="s">
        <v>3920</v>
      </c>
      <c r="AE884" s="3066" t="s">
        <v>3560</v>
      </c>
      <c r="AF884" s="3067">
        <v>804</v>
      </c>
      <c r="AG884" s="3066">
        <v>804</v>
      </c>
      <c r="AH884" s="3066">
        <v>80.400000000000006</v>
      </c>
      <c r="AI884" s="3066">
        <v>80.400000000000006</v>
      </c>
      <c r="AJ884" s="3066">
        <v>147.69</v>
      </c>
      <c r="AK884" s="3066">
        <v>147.69</v>
      </c>
      <c r="AL884" s="3066">
        <v>1032.0899999999999</v>
      </c>
      <c r="AM884" s="3066">
        <v>1032.0899999999999</v>
      </c>
      <c r="AN884" s="3066" t="s">
        <v>3560</v>
      </c>
      <c r="AP884" s="3068">
        <f t="shared" si="13"/>
        <v>20</v>
      </c>
    </row>
    <row r="885" spans="2:42" ht="27" customHeight="1">
      <c r="B885" s="3066">
        <v>893</v>
      </c>
      <c r="C885" s="3066" t="s">
        <v>6195</v>
      </c>
      <c r="D885" s="3066" t="s">
        <v>3926</v>
      </c>
      <c r="E885" s="3066" t="s">
        <v>6288</v>
      </c>
      <c r="F885" s="3066" t="s">
        <v>3917</v>
      </c>
      <c r="G885" s="3066" t="s">
        <v>1373</v>
      </c>
      <c r="H885" s="3066" t="s">
        <v>3560</v>
      </c>
      <c r="I885" s="3066" t="s">
        <v>3701</v>
      </c>
      <c r="J885" s="3066" t="s">
        <v>3702</v>
      </c>
      <c r="K885" s="3066" t="s">
        <v>3560</v>
      </c>
      <c r="L885" s="3066" t="s">
        <v>3703</v>
      </c>
      <c r="M885" s="3066" t="s">
        <v>6289</v>
      </c>
      <c r="N885" s="3066">
        <v>40.200000000000003</v>
      </c>
      <c r="O885" s="3066" t="s">
        <v>3560</v>
      </c>
      <c r="P885" s="3066" t="s">
        <v>3560</v>
      </c>
      <c r="Q885" s="3066">
        <v>0</v>
      </c>
      <c r="R885" s="3066">
        <v>0</v>
      </c>
      <c r="S885" s="3066" t="s">
        <v>3577</v>
      </c>
      <c r="T885" s="3066">
        <v>0</v>
      </c>
      <c r="U885" s="3066">
        <v>0</v>
      </c>
      <c r="V885" s="3066" t="s">
        <v>3560</v>
      </c>
      <c r="W885" s="3066" t="s">
        <v>3568</v>
      </c>
      <c r="X885" s="3066">
        <v>0</v>
      </c>
      <c r="Y885" s="3066">
        <v>0</v>
      </c>
      <c r="Z885" s="3066" t="s">
        <v>3568</v>
      </c>
      <c r="AA885" s="3066" t="s">
        <v>3560</v>
      </c>
      <c r="AB885" s="3066" t="s">
        <v>3560</v>
      </c>
      <c r="AC885" s="3066" t="s">
        <v>3560</v>
      </c>
      <c r="AD885" s="3066" t="s">
        <v>3560</v>
      </c>
      <c r="AE885" s="3066" t="s">
        <v>3560</v>
      </c>
      <c r="AF885" s="3067">
        <v>0</v>
      </c>
      <c r="AG885" s="3066">
        <v>0</v>
      </c>
      <c r="AH885" s="3066">
        <v>0</v>
      </c>
      <c r="AI885" s="3066">
        <v>0</v>
      </c>
      <c r="AJ885" s="3066">
        <v>0</v>
      </c>
      <c r="AK885" s="3066">
        <v>0</v>
      </c>
      <c r="AL885" s="3066">
        <v>0</v>
      </c>
      <c r="AM885" s="3066">
        <v>0</v>
      </c>
      <c r="AN885" s="3066" t="s">
        <v>3560</v>
      </c>
      <c r="AP885" s="3068">
        <f t="shared" si="13"/>
        <v>0</v>
      </c>
    </row>
    <row r="886" spans="2:42" ht="27" customHeight="1">
      <c r="B886" s="3066">
        <v>894</v>
      </c>
      <c r="C886" s="3066" t="s">
        <v>6195</v>
      </c>
      <c r="D886" s="3066" t="s">
        <v>3926</v>
      </c>
      <c r="E886" s="3066" t="s">
        <v>6288</v>
      </c>
      <c r="F886" s="3066" t="s">
        <v>3917</v>
      </c>
      <c r="G886" s="3066" t="s">
        <v>1373</v>
      </c>
      <c r="H886" s="3066" t="s">
        <v>3560</v>
      </c>
      <c r="I886" s="3066" t="s">
        <v>3701</v>
      </c>
      <c r="J886" s="3066" t="s">
        <v>3702</v>
      </c>
      <c r="K886" s="3066" t="s">
        <v>3560</v>
      </c>
      <c r="L886" s="3066" t="s">
        <v>3703</v>
      </c>
      <c r="M886" s="3066" t="s">
        <v>6289</v>
      </c>
      <c r="N886" s="3066">
        <v>40.200000000000003</v>
      </c>
      <c r="O886" s="3066" t="s">
        <v>3619</v>
      </c>
      <c r="P886" s="3066" t="s">
        <v>3566</v>
      </c>
      <c r="Q886" s="3066">
        <v>1</v>
      </c>
      <c r="R886" s="3066">
        <v>0</v>
      </c>
      <c r="S886" s="3066" t="s">
        <v>3577</v>
      </c>
      <c r="T886" s="3066">
        <v>21</v>
      </c>
      <c r="U886" s="3066">
        <v>844.2</v>
      </c>
      <c r="V886" s="3066" t="s">
        <v>3560</v>
      </c>
      <c r="W886" s="3066" t="s">
        <v>3568</v>
      </c>
      <c r="X886" s="3066">
        <v>2</v>
      </c>
      <c r="Y886" s="3066">
        <v>964.8</v>
      </c>
      <c r="Z886" s="3066" t="s">
        <v>3568</v>
      </c>
      <c r="AA886" s="3066" t="s">
        <v>3560</v>
      </c>
      <c r="AB886" s="3066" t="s">
        <v>3584</v>
      </c>
      <c r="AC886" s="3066" t="s">
        <v>3584</v>
      </c>
      <c r="AD886" s="3066" t="s">
        <v>3584</v>
      </c>
      <c r="AE886" s="3066" t="s">
        <v>3560</v>
      </c>
      <c r="AF886" s="3067">
        <v>844.2</v>
      </c>
      <c r="AG886" s="3066">
        <v>0</v>
      </c>
      <c r="AH886" s="3066">
        <v>80.400000000000006</v>
      </c>
      <c r="AI886" s="3066">
        <v>0</v>
      </c>
      <c r="AJ886" s="3066">
        <v>177.99</v>
      </c>
      <c r="AK886" s="3066">
        <v>0</v>
      </c>
      <c r="AL886" s="3066">
        <v>1102.5899999999999</v>
      </c>
      <c r="AM886" s="3066">
        <v>0</v>
      </c>
      <c r="AN886" s="3066" t="s">
        <v>3560</v>
      </c>
      <c r="AP886" s="3068">
        <f t="shared" si="13"/>
        <v>21</v>
      </c>
    </row>
    <row r="887" spans="2:42" ht="27" customHeight="1">
      <c r="B887" s="3066">
        <v>895</v>
      </c>
      <c r="C887" s="3066" t="s">
        <v>6195</v>
      </c>
      <c r="D887" s="3066" t="s">
        <v>3926</v>
      </c>
      <c r="E887" s="3066" t="s">
        <v>6290</v>
      </c>
      <c r="F887" s="3066" t="s">
        <v>3917</v>
      </c>
      <c r="G887" s="3066" t="s">
        <v>1373</v>
      </c>
      <c r="H887" s="3066" t="s">
        <v>3560</v>
      </c>
      <c r="I887" s="3066" t="s">
        <v>3701</v>
      </c>
      <c r="J887" s="3066" t="s">
        <v>3702</v>
      </c>
      <c r="K887" s="3066" t="s">
        <v>3560</v>
      </c>
      <c r="L887" s="3066" t="s">
        <v>3703</v>
      </c>
      <c r="M887" s="3066" t="s">
        <v>6291</v>
      </c>
      <c r="N887" s="3066">
        <v>40.200000000000003</v>
      </c>
      <c r="O887" s="3066" t="s">
        <v>3619</v>
      </c>
      <c r="P887" s="3066" t="s">
        <v>3566</v>
      </c>
      <c r="Q887" s="3066">
        <v>1</v>
      </c>
      <c r="R887" s="3066">
        <v>0</v>
      </c>
      <c r="S887" s="3066" t="s">
        <v>3577</v>
      </c>
      <c r="T887" s="3066">
        <v>21</v>
      </c>
      <c r="U887" s="3066">
        <v>844.2</v>
      </c>
      <c r="V887" s="3066" t="s">
        <v>3560</v>
      </c>
      <c r="W887" s="3066" t="s">
        <v>3568</v>
      </c>
      <c r="X887" s="3066">
        <v>2</v>
      </c>
      <c r="Y887" s="3066">
        <v>964.8</v>
      </c>
      <c r="Z887" s="3066" t="s">
        <v>3568</v>
      </c>
      <c r="AA887" s="3066" t="s">
        <v>3560</v>
      </c>
      <c r="AB887" s="3066" t="s">
        <v>3584</v>
      </c>
      <c r="AC887" s="3066" t="s">
        <v>3584</v>
      </c>
      <c r="AD887" s="3066" t="s">
        <v>3584</v>
      </c>
      <c r="AE887" s="3066" t="s">
        <v>3560</v>
      </c>
      <c r="AF887" s="3067">
        <v>844.2</v>
      </c>
      <c r="AG887" s="3066">
        <v>0</v>
      </c>
      <c r="AH887" s="3066">
        <v>80.400000000000006</v>
      </c>
      <c r="AI887" s="3066">
        <v>0</v>
      </c>
      <c r="AJ887" s="3066">
        <v>373.24</v>
      </c>
      <c r="AK887" s="3066">
        <v>0</v>
      </c>
      <c r="AL887" s="3066">
        <v>1297.8399999999999</v>
      </c>
      <c r="AM887" s="3066">
        <v>0</v>
      </c>
      <c r="AN887" s="3066" t="s">
        <v>3560</v>
      </c>
      <c r="AP887" s="3068">
        <f t="shared" si="13"/>
        <v>21</v>
      </c>
    </row>
    <row r="888" spans="2:42" ht="27" customHeight="1">
      <c r="B888" s="3066">
        <v>896</v>
      </c>
      <c r="C888" s="3066" t="s">
        <v>6195</v>
      </c>
      <c r="D888" s="3066" t="s">
        <v>3926</v>
      </c>
      <c r="E888" s="3066" t="s">
        <v>6292</v>
      </c>
      <c r="F888" s="3066" t="s">
        <v>3917</v>
      </c>
      <c r="G888" s="3066" t="s">
        <v>1373</v>
      </c>
      <c r="H888" s="3066" t="s">
        <v>3560</v>
      </c>
      <c r="I888" s="3066" t="s">
        <v>3701</v>
      </c>
      <c r="J888" s="3066" t="s">
        <v>3702</v>
      </c>
      <c r="K888" s="3066" t="s">
        <v>3560</v>
      </c>
      <c r="L888" s="3066" t="s">
        <v>3703</v>
      </c>
      <c r="M888" s="3066" t="s">
        <v>6293</v>
      </c>
      <c r="N888" s="3066">
        <v>40.200000000000003</v>
      </c>
      <c r="O888" s="3066" t="s">
        <v>3619</v>
      </c>
      <c r="P888" s="3066" t="s">
        <v>3566</v>
      </c>
      <c r="Q888" s="3066">
        <v>1</v>
      </c>
      <c r="R888" s="3066">
        <v>1085.4000000000001</v>
      </c>
      <c r="S888" s="3066" t="s">
        <v>3567</v>
      </c>
      <c r="T888" s="3066">
        <v>21</v>
      </c>
      <c r="U888" s="3066">
        <v>844.2</v>
      </c>
      <c r="V888" s="3066" t="s">
        <v>3560</v>
      </c>
      <c r="W888" s="3066" t="s">
        <v>3568</v>
      </c>
      <c r="X888" s="3066">
        <v>2</v>
      </c>
      <c r="Y888" s="3066">
        <v>964.8</v>
      </c>
      <c r="Z888" s="3066" t="s">
        <v>3568</v>
      </c>
      <c r="AA888" s="3066" t="s">
        <v>3560</v>
      </c>
      <c r="AB888" s="3066" t="s">
        <v>3584</v>
      </c>
      <c r="AC888" s="3066" t="s">
        <v>3584</v>
      </c>
      <c r="AD888" s="3066" t="s">
        <v>3584</v>
      </c>
      <c r="AE888" s="3066" t="s">
        <v>3560</v>
      </c>
      <c r="AF888" s="3067">
        <v>844.2</v>
      </c>
      <c r="AG888" s="3066">
        <v>0</v>
      </c>
      <c r="AH888" s="3066">
        <v>80.400000000000006</v>
      </c>
      <c r="AI888" s="3066">
        <v>0</v>
      </c>
      <c r="AJ888" s="3066">
        <v>126.03</v>
      </c>
      <c r="AK888" s="3066">
        <v>0</v>
      </c>
      <c r="AL888" s="3066">
        <v>1050.6300000000001</v>
      </c>
      <c r="AM888" s="3066">
        <v>0</v>
      </c>
      <c r="AN888" s="3066" t="s">
        <v>3560</v>
      </c>
      <c r="AP888" s="3068">
        <f t="shared" si="13"/>
        <v>21</v>
      </c>
    </row>
    <row r="889" spans="2:42" ht="27" customHeight="1">
      <c r="B889" s="3066">
        <v>897</v>
      </c>
      <c r="C889" s="3066" t="s">
        <v>6195</v>
      </c>
      <c r="D889" s="3066" t="s">
        <v>3926</v>
      </c>
      <c r="E889" s="3066" t="s">
        <v>6294</v>
      </c>
      <c r="F889" s="3066" t="s">
        <v>3917</v>
      </c>
      <c r="G889" s="3066" t="s">
        <v>3560</v>
      </c>
      <c r="H889" s="3066" t="s">
        <v>3560</v>
      </c>
      <c r="I889" s="3066" t="s">
        <v>6295</v>
      </c>
      <c r="J889" s="3066" t="s">
        <v>6295</v>
      </c>
      <c r="K889" s="3066" t="s">
        <v>3560</v>
      </c>
      <c r="L889" s="3066" t="s">
        <v>6296</v>
      </c>
      <c r="M889" s="3066" t="s">
        <v>6297</v>
      </c>
      <c r="N889" s="3066">
        <v>40.200000000000003</v>
      </c>
      <c r="O889" s="3066" t="s">
        <v>4008</v>
      </c>
      <c r="P889" s="3066" t="s">
        <v>3566</v>
      </c>
      <c r="Q889" s="3066">
        <v>1</v>
      </c>
      <c r="R889" s="3066">
        <v>2683</v>
      </c>
      <c r="S889" s="3066" t="s">
        <v>3567</v>
      </c>
      <c r="T889" s="3066">
        <v>20</v>
      </c>
      <c r="U889" s="3066">
        <v>804</v>
      </c>
      <c r="V889" s="3066" t="s">
        <v>3560</v>
      </c>
      <c r="W889" s="3066" t="s">
        <v>3568</v>
      </c>
      <c r="X889" s="3066">
        <v>2.25</v>
      </c>
      <c r="Y889" s="3066">
        <v>1084.8</v>
      </c>
      <c r="Z889" s="3066" t="s">
        <v>3568</v>
      </c>
      <c r="AA889" s="3066" t="s">
        <v>3560</v>
      </c>
      <c r="AB889" s="3066" t="s">
        <v>3692</v>
      </c>
      <c r="AC889" s="3066" t="s">
        <v>3692</v>
      </c>
      <c r="AD889" s="3066" t="s">
        <v>3692</v>
      </c>
      <c r="AE889" s="3066" t="s">
        <v>3560</v>
      </c>
      <c r="AF889" s="3067">
        <v>804</v>
      </c>
      <c r="AG889" s="3066">
        <v>804</v>
      </c>
      <c r="AH889" s="3066">
        <v>90.4</v>
      </c>
      <c r="AI889" s="3066">
        <v>90.4</v>
      </c>
      <c r="AJ889" s="3066">
        <v>195.8</v>
      </c>
      <c r="AK889" s="3066">
        <v>195.8</v>
      </c>
      <c r="AL889" s="3066">
        <v>1090.2</v>
      </c>
      <c r="AM889" s="3066">
        <v>1090.2</v>
      </c>
      <c r="AN889" s="3066" t="s">
        <v>3560</v>
      </c>
      <c r="AP889" s="3068">
        <f t="shared" si="13"/>
        <v>20</v>
      </c>
    </row>
    <row r="890" spans="2:42" ht="27" customHeight="1">
      <c r="B890" s="3066">
        <v>898</v>
      </c>
      <c r="C890" s="3066" t="s">
        <v>6195</v>
      </c>
      <c r="D890" s="3066" t="s">
        <v>3926</v>
      </c>
      <c r="E890" s="3066" t="s">
        <v>6298</v>
      </c>
      <c r="F890" s="3066" t="s">
        <v>3917</v>
      </c>
      <c r="G890" s="3066" t="s">
        <v>1373</v>
      </c>
      <c r="H890" s="3066" t="s">
        <v>3560</v>
      </c>
      <c r="I890" s="3066" t="s">
        <v>4130</v>
      </c>
      <c r="J890" s="3066" t="s">
        <v>4130</v>
      </c>
      <c r="K890" s="3066" t="s">
        <v>3560</v>
      </c>
      <c r="L890" s="3066" t="s">
        <v>4131</v>
      </c>
      <c r="M890" s="3066" t="s">
        <v>6299</v>
      </c>
      <c r="N890" s="3066">
        <v>40.200000000000003</v>
      </c>
      <c r="O890" s="3066" t="s">
        <v>4335</v>
      </c>
      <c r="P890" s="3066" t="s">
        <v>3566</v>
      </c>
      <c r="Q890" s="3066">
        <v>0</v>
      </c>
      <c r="R890" s="3066">
        <v>2683</v>
      </c>
      <c r="S890" s="3066" t="s">
        <v>3567</v>
      </c>
      <c r="T890" s="3066">
        <v>20</v>
      </c>
      <c r="U890" s="3066">
        <v>804</v>
      </c>
      <c r="V890" s="3066" t="s">
        <v>3560</v>
      </c>
      <c r="W890" s="3066" t="s">
        <v>3568</v>
      </c>
      <c r="X890" s="3066">
        <v>2.25</v>
      </c>
      <c r="Y890" s="3066">
        <v>1084.8</v>
      </c>
      <c r="Z890" s="3066" t="s">
        <v>3568</v>
      </c>
      <c r="AA890" s="3066" t="s">
        <v>3560</v>
      </c>
      <c r="AB890" s="3066" t="s">
        <v>4336</v>
      </c>
      <c r="AC890" s="3066" t="s">
        <v>4336</v>
      </c>
      <c r="AD890" s="3066" t="s">
        <v>4336</v>
      </c>
      <c r="AE890" s="3066" t="s">
        <v>3560</v>
      </c>
      <c r="AF890" s="3067">
        <v>804</v>
      </c>
      <c r="AG890" s="3066">
        <v>804</v>
      </c>
      <c r="AH890" s="3066">
        <v>90.4</v>
      </c>
      <c r="AI890" s="3066">
        <v>90.4</v>
      </c>
      <c r="AJ890" s="3066">
        <v>0</v>
      </c>
      <c r="AK890" s="3066">
        <v>0</v>
      </c>
      <c r="AL890" s="3066">
        <v>894.4</v>
      </c>
      <c r="AM890" s="3066">
        <v>894.4</v>
      </c>
      <c r="AN890" s="3066" t="s">
        <v>3560</v>
      </c>
      <c r="AP890" s="3068">
        <f t="shared" si="13"/>
        <v>20</v>
      </c>
    </row>
    <row r="891" spans="2:42" ht="27" customHeight="1">
      <c r="B891" s="3066">
        <v>899</v>
      </c>
      <c r="C891" s="3066" t="s">
        <v>6195</v>
      </c>
      <c r="D891" s="3066" t="s">
        <v>3926</v>
      </c>
      <c r="E891" s="3066" t="s">
        <v>6300</v>
      </c>
      <c r="F891" s="3066" t="s">
        <v>3917</v>
      </c>
      <c r="G891" s="3066" t="s">
        <v>3560</v>
      </c>
      <c r="H891" s="3066" t="s">
        <v>3560</v>
      </c>
      <c r="I891" s="3066" t="s">
        <v>5477</v>
      </c>
      <c r="J891" s="3066" t="s">
        <v>5477</v>
      </c>
      <c r="K891" s="3066" t="s">
        <v>3560</v>
      </c>
      <c r="L891" s="3066" t="s">
        <v>5478</v>
      </c>
      <c r="M891" s="3066" t="s">
        <v>6301</v>
      </c>
      <c r="N891" s="3066">
        <v>40.200000000000003</v>
      </c>
      <c r="O891" s="3066" t="s">
        <v>4482</v>
      </c>
      <c r="P891" s="3066" t="s">
        <v>3566</v>
      </c>
      <c r="Q891" s="3066">
        <v>0</v>
      </c>
      <c r="R891" s="3066">
        <v>0</v>
      </c>
      <c r="S891" s="3066" t="s">
        <v>3577</v>
      </c>
      <c r="T891" s="3066">
        <v>20</v>
      </c>
      <c r="U891" s="3066">
        <v>804</v>
      </c>
      <c r="V891" s="3066" t="s">
        <v>3560</v>
      </c>
      <c r="W891" s="3066" t="s">
        <v>3568</v>
      </c>
      <c r="X891" s="3066">
        <v>2.25</v>
      </c>
      <c r="Y891" s="3066">
        <v>1084.8</v>
      </c>
      <c r="Z891" s="3066" t="s">
        <v>3568</v>
      </c>
      <c r="AA891" s="3066" t="s">
        <v>3560</v>
      </c>
      <c r="AB891" s="3066" t="s">
        <v>4483</v>
      </c>
      <c r="AC891" s="3066" t="s">
        <v>4483</v>
      </c>
      <c r="AD891" s="3066" t="s">
        <v>4483</v>
      </c>
      <c r="AE891" s="3066" t="s">
        <v>3560</v>
      </c>
      <c r="AF891" s="3067">
        <v>804</v>
      </c>
      <c r="AG891" s="3066">
        <v>804</v>
      </c>
      <c r="AH891" s="3066">
        <v>90.4</v>
      </c>
      <c r="AI891" s="3066">
        <v>90.4</v>
      </c>
      <c r="AJ891" s="3066">
        <v>84.67</v>
      </c>
      <c r="AK891" s="3066">
        <v>84.67</v>
      </c>
      <c r="AL891" s="3066">
        <v>979.07</v>
      </c>
      <c r="AM891" s="3066">
        <v>979.07</v>
      </c>
      <c r="AN891" s="3066" t="s">
        <v>3560</v>
      </c>
      <c r="AP891" s="3068">
        <f t="shared" si="13"/>
        <v>20</v>
      </c>
    </row>
    <row r="892" spans="2:42" ht="27" customHeight="1">
      <c r="B892" s="3066">
        <v>900</v>
      </c>
      <c r="C892" s="3066" t="s">
        <v>6195</v>
      </c>
      <c r="D892" s="3066" t="s">
        <v>3926</v>
      </c>
      <c r="E892" s="3066" t="s">
        <v>6302</v>
      </c>
      <c r="F892" s="3066" t="s">
        <v>3917</v>
      </c>
      <c r="G892" s="3066" t="s">
        <v>1373</v>
      </c>
      <c r="H892" s="3066" t="s">
        <v>3560</v>
      </c>
      <c r="I892" s="3066" t="s">
        <v>3832</v>
      </c>
      <c r="J892" s="3066" t="s">
        <v>3833</v>
      </c>
      <c r="K892" s="3066" t="s">
        <v>3560</v>
      </c>
      <c r="L892" s="3066" t="s">
        <v>3834</v>
      </c>
      <c r="M892" s="3066" t="s">
        <v>6303</v>
      </c>
      <c r="N892" s="3066">
        <v>40.200000000000003</v>
      </c>
      <c r="O892" s="3066" t="s">
        <v>6304</v>
      </c>
      <c r="P892" s="3066" t="s">
        <v>3566</v>
      </c>
      <c r="Q892" s="3066">
        <v>1</v>
      </c>
      <c r="R892" s="3066">
        <v>5306.4</v>
      </c>
      <c r="S892" s="3066" t="s">
        <v>3567</v>
      </c>
      <c r="T892" s="3066">
        <v>20</v>
      </c>
      <c r="U892" s="3066">
        <v>804</v>
      </c>
      <c r="V892" s="3066" t="s">
        <v>3560</v>
      </c>
      <c r="W892" s="3066" t="s">
        <v>3568</v>
      </c>
      <c r="X892" s="3066">
        <v>2</v>
      </c>
      <c r="Y892" s="3066">
        <v>964.8</v>
      </c>
      <c r="Z892" s="3066" t="s">
        <v>3568</v>
      </c>
      <c r="AA892" s="3066" t="s">
        <v>3560</v>
      </c>
      <c r="AB892" s="3066" t="s">
        <v>4483</v>
      </c>
      <c r="AC892" s="3066" t="s">
        <v>4483</v>
      </c>
      <c r="AD892" s="3066" t="s">
        <v>4483</v>
      </c>
      <c r="AE892" s="3066" t="s">
        <v>3560</v>
      </c>
      <c r="AF892" s="3067">
        <v>804</v>
      </c>
      <c r="AG892" s="3066">
        <v>804</v>
      </c>
      <c r="AH892" s="3066">
        <v>80.400000000000006</v>
      </c>
      <c r="AI892" s="3066">
        <v>80.400000000000006</v>
      </c>
      <c r="AJ892" s="3066">
        <v>123.78</v>
      </c>
      <c r="AK892" s="3066">
        <v>123.78</v>
      </c>
      <c r="AL892" s="3066">
        <v>1008.18</v>
      </c>
      <c r="AM892" s="3066">
        <v>1008.18</v>
      </c>
      <c r="AN892" s="3066" t="s">
        <v>3560</v>
      </c>
      <c r="AP892" s="3068">
        <f t="shared" si="13"/>
        <v>20</v>
      </c>
    </row>
    <row r="893" spans="2:42" ht="27" customHeight="1">
      <c r="B893" s="3066">
        <v>901</v>
      </c>
      <c r="C893" s="3066" t="s">
        <v>6195</v>
      </c>
      <c r="D893" s="3066" t="s">
        <v>3926</v>
      </c>
      <c r="E893" s="3066" t="s">
        <v>6305</v>
      </c>
      <c r="F893" s="3066" t="s">
        <v>3917</v>
      </c>
      <c r="G893" s="3066" t="s">
        <v>1373</v>
      </c>
      <c r="H893" s="3066" t="s">
        <v>3560</v>
      </c>
      <c r="I893" s="3066" t="s">
        <v>3832</v>
      </c>
      <c r="J893" s="3066" t="s">
        <v>3833</v>
      </c>
      <c r="K893" s="3066" t="s">
        <v>3560</v>
      </c>
      <c r="L893" s="3066" t="s">
        <v>3834</v>
      </c>
      <c r="M893" s="3066" t="s">
        <v>6306</v>
      </c>
      <c r="N893" s="3066">
        <v>40.200000000000003</v>
      </c>
      <c r="O893" s="3066" t="s">
        <v>6304</v>
      </c>
      <c r="P893" s="3066" t="s">
        <v>3566</v>
      </c>
      <c r="Q893" s="3066">
        <v>1</v>
      </c>
      <c r="R893" s="3066">
        <v>0</v>
      </c>
      <c r="S893" s="3066" t="s">
        <v>3577</v>
      </c>
      <c r="T893" s="3066">
        <v>20</v>
      </c>
      <c r="U893" s="3066">
        <v>804</v>
      </c>
      <c r="V893" s="3066" t="s">
        <v>3560</v>
      </c>
      <c r="W893" s="3066" t="s">
        <v>3568</v>
      </c>
      <c r="X893" s="3066">
        <v>2</v>
      </c>
      <c r="Y893" s="3066">
        <v>964.8</v>
      </c>
      <c r="Z893" s="3066" t="s">
        <v>3568</v>
      </c>
      <c r="AA893" s="3066" t="s">
        <v>3560</v>
      </c>
      <c r="AB893" s="3066" t="s">
        <v>4483</v>
      </c>
      <c r="AC893" s="3066" t="s">
        <v>4483</v>
      </c>
      <c r="AD893" s="3066" t="s">
        <v>4483</v>
      </c>
      <c r="AE893" s="3066" t="s">
        <v>3560</v>
      </c>
      <c r="AF893" s="3067">
        <v>804</v>
      </c>
      <c r="AG893" s="3066">
        <v>804</v>
      </c>
      <c r="AH893" s="3066">
        <v>80.400000000000006</v>
      </c>
      <c r="AI893" s="3066">
        <v>80.400000000000006</v>
      </c>
      <c r="AJ893" s="3066">
        <v>162.03</v>
      </c>
      <c r="AK893" s="3066">
        <v>162.03</v>
      </c>
      <c r="AL893" s="3066">
        <v>1046.43</v>
      </c>
      <c r="AM893" s="3066">
        <v>1046.43</v>
      </c>
      <c r="AN893" s="3066" t="s">
        <v>3560</v>
      </c>
      <c r="AP893" s="3068">
        <f t="shared" si="13"/>
        <v>20</v>
      </c>
    </row>
    <row r="894" spans="2:42" ht="27" customHeight="1">
      <c r="B894" s="3066">
        <v>902</v>
      </c>
      <c r="C894" s="3066" t="s">
        <v>6195</v>
      </c>
      <c r="D894" s="3066" t="s">
        <v>3972</v>
      </c>
      <c r="E894" s="3066" t="s">
        <v>6307</v>
      </c>
      <c r="F894" s="3066" t="s">
        <v>3917</v>
      </c>
      <c r="G894" s="3066" t="s">
        <v>1373</v>
      </c>
      <c r="H894" s="3066" t="s">
        <v>3560</v>
      </c>
      <c r="I894" s="3066" t="s">
        <v>3837</v>
      </c>
      <c r="J894" s="3066" t="s">
        <v>3838</v>
      </c>
      <c r="K894" s="3066" t="s">
        <v>3560</v>
      </c>
      <c r="L894" s="3066" t="s">
        <v>3839</v>
      </c>
      <c r="M894" s="3066" t="s">
        <v>6308</v>
      </c>
      <c r="N894" s="3066">
        <v>603</v>
      </c>
      <c r="O894" s="3066" t="s">
        <v>3619</v>
      </c>
      <c r="P894" s="3066" t="s">
        <v>3566</v>
      </c>
      <c r="Q894" s="3066">
        <v>1</v>
      </c>
      <c r="R894" s="3066">
        <v>23645</v>
      </c>
      <c r="S894" s="3066" t="s">
        <v>3567</v>
      </c>
      <c r="T894" s="3066">
        <v>21</v>
      </c>
      <c r="U894" s="3066">
        <v>12663</v>
      </c>
      <c r="V894" s="3066" t="s">
        <v>3560</v>
      </c>
      <c r="W894" s="3066" t="s">
        <v>3568</v>
      </c>
      <c r="X894" s="3066">
        <v>2</v>
      </c>
      <c r="Y894" s="3066">
        <v>14472</v>
      </c>
      <c r="Z894" s="3066" t="s">
        <v>3568</v>
      </c>
      <c r="AA894" s="3066" t="s">
        <v>3560</v>
      </c>
      <c r="AB894" s="3066" t="s">
        <v>3584</v>
      </c>
      <c r="AC894" s="3066" t="s">
        <v>3584</v>
      </c>
      <c r="AD894" s="3066" t="s">
        <v>3584</v>
      </c>
      <c r="AE894" s="3066" t="s">
        <v>3560</v>
      </c>
      <c r="AF894" s="3067">
        <v>12663</v>
      </c>
      <c r="AG894" s="3066">
        <v>0</v>
      </c>
      <c r="AH894" s="3066">
        <v>1206</v>
      </c>
      <c r="AI894" s="3066">
        <v>0</v>
      </c>
      <c r="AJ894" s="3066">
        <v>2046.43</v>
      </c>
      <c r="AK894" s="3066">
        <v>0</v>
      </c>
      <c r="AL894" s="3066">
        <v>15915.43</v>
      </c>
      <c r="AM894" s="3066">
        <v>0</v>
      </c>
      <c r="AN894" s="3066" t="s">
        <v>3560</v>
      </c>
      <c r="AP894" s="3068">
        <f t="shared" si="13"/>
        <v>21</v>
      </c>
    </row>
    <row r="895" spans="2:42" ht="27" customHeight="1">
      <c r="B895" s="3066">
        <v>903</v>
      </c>
      <c r="C895" s="3066" t="s">
        <v>6195</v>
      </c>
      <c r="D895" s="3066" t="s">
        <v>4209</v>
      </c>
      <c r="E895" s="3066" t="s">
        <v>6309</v>
      </c>
      <c r="F895" s="3066" t="s">
        <v>3917</v>
      </c>
      <c r="G895" s="3066" t="s">
        <v>3560</v>
      </c>
      <c r="H895" s="3066" t="s">
        <v>3560</v>
      </c>
      <c r="I895" s="3066" t="s">
        <v>6310</v>
      </c>
      <c r="J895" s="3066" t="s">
        <v>6310</v>
      </c>
      <c r="K895" s="3066" t="s">
        <v>3560</v>
      </c>
      <c r="L895" s="3066" t="s">
        <v>6311</v>
      </c>
      <c r="M895" s="3066" t="s">
        <v>6312</v>
      </c>
      <c r="N895" s="3066">
        <v>40.200000000000003</v>
      </c>
      <c r="O895" s="3066" t="s">
        <v>3744</v>
      </c>
      <c r="P895" s="3066" t="s">
        <v>3566</v>
      </c>
      <c r="Q895" s="3066">
        <v>1</v>
      </c>
      <c r="R895" s="3066">
        <v>2683</v>
      </c>
      <c r="S895" s="3066" t="s">
        <v>3567</v>
      </c>
      <c r="T895" s="3066">
        <v>20</v>
      </c>
      <c r="U895" s="3066">
        <v>804</v>
      </c>
      <c r="V895" s="3066" t="s">
        <v>3560</v>
      </c>
      <c r="W895" s="3066" t="s">
        <v>3568</v>
      </c>
      <c r="X895" s="3066">
        <v>2.25</v>
      </c>
      <c r="Y895" s="3066">
        <v>1084.8</v>
      </c>
      <c r="Z895" s="3066" t="s">
        <v>3568</v>
      </c>
      <c r="AA895" s="3066" t="s">
        <v>3560</v>
      </c>
      <c r="AB895" s="3066" t="s">
        <v>3746</v>
      </c>
      <c r="AC895" s="3066" t="s">
        <v>3746</v>
      </c>
      <c r="AD895" s="3066" t="s">
        <v>3746</v>
      </c>
      <c r="AE895" s="3066" t="s">
        <v>3560</v>
      </c>
      <c r="AF895" s="3067">
        <v>804</v>
      </c>
      <c r="AG895" s="3066">
        <v>804</v>
      </c>
      <c r="AH895" s="3066">
        <v>90.4</v>
      </c>
      <c r="AI895" s="3066">
        <v>90.4</v>
      </c>
      <c r="AJ895" s="3066">
        <v>118.72</v>
      </c>
      <c r="AK895" s="3066">
        <v>118.72</v>
      </c>
      <c r="AL895" s="3066">
        <v>1013.12</v>
      </c>
      <c r="AM895" s="3066">
        <v>1013.12</v>
      </c>
      <c r="AN895" s="3066" t="s">
        <v>3560</v>
      </c>
      <c r="AP895" s="3068">
        <f t="shared" si="13"/>
        <v>20</v>
      </c>
    </row>
    <row r="896" spans="2:42" ht="27" customHeight="1">
      <c r="B896" s="3066">
        <v>904</v>
      </c>
      <c r="C896" s="3066" t="s">
        <v>6195</v>
      </c>
      <c r="D896" s="3066" t="s">
        <v>4209</v>
      </c>
      <c r="E896" s="3066" t="s">
        <v>6313</v>
      </c>
      <c r="F896" s="3066" t="s">
        <v>3917</v>
      </c>
      <c r="G896" s="3066" t="s">
        <v>1373</v>
      </c>
      <c r="H896" s="3066" t="s">
        <v>3560</v>
      </c>
      <c r="I896" s="3066" t="s">
        <v>6314</v>
      </c>
      <c r="J896" s="3066" t="s">
        <v>3560</v>
      </c>
      <c r="K896" s="3066" t="s">
        <v>3560</v>
      </c>
      <c r="L896" s="3066" t="s">
        <v>6315</v>
      </c>
      <c r="M896" s="3066" t="s">
        <v>6316</v>
      </c>
      <c r="N896" s="3066">
        <v>40.200000000000003</v>
      </c>
      <c r="O896" s="3066" t="s">
        <v>3950</v>
      </c>
      <c r="P896" s="3066" t="s">
        <v>3566</v>
      </c>
      <c r="Q896" s="3066">
        <v>1</v>
      </c>
      <c r="R896" s="3066">
        <v>4673</v>
      </c>
      <c r="S896" s="3066" t="s">
        <v>3567</v>
      </c>
      <c r="T896" s="3066">
        <v>21</v>
      </c>
      <c r="U896" s="3066">
        <v>844.2</v>
      </c>
      <c r="V896" s="3066" t="s">
        <v>3560</v>
      </c>
      <c r="W896" s="3066" t="s">
        <v>3568</v>
      </c>
      <c r="X896" s="3066">
        <v>2.25</v>
      </c>
      <c r="Y896" s="3066">
        <v>1084.8</v>
      </c>
      <c r="Z896" s="3066" t="s">
        <v>3568</v>
      </c>
      <c r="AA896" s="3066" t="s">
        <v>3560</v>
      </c>
      <c r="AB896" s="3066" t="s">
        <v>3951</v>
      </c>
      <c r="AC896" s="3066" t="s">
        <v>3951</v>
      </c>
      <c r="AD896" s="3066" t="s">
        <v>3951</v>
      </c>
      <c r="AE896" s="3066" t="s">
        <v>3560</v>
      </c>
      <c r="AF896" s="3067">
        <v>844.2</v>
      </c>
      <c r="AG896" s="3066">
        <v>844.2</v>
      </c>
      <c r="AH896" s="3066">
        <v>90.4</v>
      </c>
      <c r="AI896" s="3066">
        <v>90.4</v>
      </c>
      <c r="AJ896" s="3066">
        <v>88.04</v>
      </c>
      <c r="AK896" s="3066">
        <v>88.04</v>
      </c>
      <c r="AL896" s="3066">
        <v>1022.64</v>
      </c>
      <c r="AM896" s="3066">
        <v>1022.64</v>
      </c>
      <c r="AN896" s="3066" t="s">
        <v>3560</v>
      </c>
      <c r="AP896" s="3068">
        <f t="shared" si="13"/>
        <v>21</v>
      </c>
    </row>
    <row r="897" spans="2:42" ht="27" customHeight="1">
      <c r="B897" s="3066">
        <v>905</v>
      </c>
      <c r="C897" s="3066" t="s">
        <v>6195</v>
      </c>
      <c r="D897" s="3066" t="s">
        <v>4209</v>
      </c>
      <c r="E897" s="3066" t="s">
        <v>6317</v>
      </c>
      <c r="F897" s="3066" t="s">
        <v>3917</v>
      </c>
      <c r="G897" s="3066" t="s">
        <v>1373</v>
      </c>
      <c r="H897" s="3066" t="s">
        <v>3560</v>
      </c>
      <c r="I897" s="3066" t="s">
        <v>6318</v>
      </c>
      <c r="J897" s="3066" t="s">
        <v>3560</v>
      </c>
      <c r="K897" s="3066" t="s">
        <v>3560</v>
      </c>
      <c r="L897" s="3066" t="s">
        <v>6319</v>
      </c>
      <c r="M897" s="3066" t="s">
        <v>6320</v>
      </c>
      <c r="N897" s="3066">
        <v>40.200000000000003</v>
      </c>
      <c r="O897" s="3066" t="s">
        <v>3619</v>
      </c>
      <c r="P897" s="3066" t="s">
        <v>3566</v>
      </c>
      <c r="Q897" s="3066">
        <v>1</v>
      </c>
      <c r="R897" s="3066">
        <v>4472</v>
      </c>
      <c r="S897" s="3066" t="s">
        <v>3567</v>
      </c>
      <c r="T897" s="3066">
        <v>20</v>
      </c>
      <c r="U897" s="3066">
        <v>804</v>
      </c>
      <c r="V897" s="3066" t="s">
        <v>3560</v>
      </c>
      <c r="W897" s="3066" t="s">
        <v>3568</v>
      </c>
      <c r="X897" s="3066">
        <v>2.25</v>
      </c>
      <c r="Y897" s="3066">
        <v>1084.8</v>
      </c>
      <c r="Z897" s="3066" t="s">
        <v>3568</v>
      </c>
      <c r="AA897" s="3066" t="s">
        <v>3560</v>
      </c>
      <c r="AB897" s="3066" t="s">
        <v>3584</v>
      </c>
      <c r="AC897" s="3066" t="s">
        <v>3584</v>
      </c>
      <c r="AD897" s="3066" t="s">
        <v>3584</v>
      </c>
      <c r="AE897" s="3066" t="s">
        <v>3560</v>
      </c>
      <c r="AF897" s="3067">
        <v>804</v>
      </c>
      <c r="AG897" s="3066">
        <v>804</v>
      </c>
      <c r="AH897" s="3066">
        <v>90.4</v>
      </c>
      <c r="AI897" s="3066">
        <v>90.4</v>
      </c>
      <c r="AJ897" s="3066">
        <v>121.27</v>
      </c>
      <c r="AK897" s="3066">
        <v>121.27</v>
      </c>
      <c r="AL897" s="3066">
        <v>1015.67</v>
      </c>
      <c r="AM897" s="3066">
        <v>1015.67</v>
      </c>
      <c r="AN897" s="3066" t="s">
        <v>3560</v>
      </c>
      <c r="AP897" s="3068">
        <f t="shared" si="13"/>
        <v>20</v>
      </c>
    </row>
    <row r="898" spans="2:42" ht="27" customHeight="1">
      <c r="B898" s="3066">
        <v>906</v>
      </c>
      <c r="C898" s="3066" t="s">
        <v>6195</v>
      </c>
      <c r="D898" s="3066" t="s">
        <v>4209</v>
      </c>
      <c r="E898" s="3066" t="s">
        <v>6321</v>
      </c>
      <c r="F898" s="3066" t="s">
        <v>3917</v>
      </c>
      <c r="G898" s="3066" t="s">
        <v>1373</v>
      </c>
      <c r="H898" s="3066" t="s">
        <v>3560</v>
      </c>
      <c r="I898" s="3066" t="s">
        <v>6322</v>
      </c>
      <c r="J898" s="3066" t="s">
        <v>3560</v>
      </c>
      <c r="K898" s="3066" t="s">
        <v>3560</v>
      </c>
      <c r="L898" s="3066" t="s">
        <v>6323</v>
      </c>
      <c r="M898" s="3066" t="s">
        <v>6324</v>
      </c>
      <c r="N898" s="3066">
        <v>40.200000000000003</v>
      </c>
      <c r="O898" s="3066" t="s">
        <v>3950</v>
      </c>
      <c r="P898" s="3066" t="s">
        <v>3566</v>
      </c>
      <c r="Q898" s="3066">
        <v>1</v>
      </c>
      <c r="R898" s="3066">
        <v>4673</v>
      </c>
      <c r="S898" s="3066" t="s">
        <v>3567</v>
      </c>
      <c r="T898" s="3066">
        <v>21</v>
      </c>
      <c r="U898" s="3066">
        <v>844.2</v>
      </c>
      <c r="V898" s="3066" t="s">
        <v>3560</v>
      </c>
      <c r="W898" s="3066" t="s">
        <v>3568</v>
      </c>
      <c r="X898" s="3066">
        <v>2.25</v>
      </c>
      <c r="Y898" s="3066">
        <v>1084.8</v>
      </c>
      <c r="Z898" s="3066" t="s">
        <v>3568</v>
      </c>
      <c r="AA898" s="3066" t="s">
        <v>3560</v>
      </c>
      <c r="AB898" s="3066" t="s">
        <v>3951</v>
      </c>
      <c r="AC898" s="3066" t="s">
        <v>3951</v>
      </c>
      <c r="AD898" s="3066" t="s">
        <v>3951</v>
      </c>
      <c r="AE898" s="3066" t="s">
        <v>3560</v>
      </c>
      <c r="AF898" s="3067">
        <v>844.2</v>
      </c>
      <c r="AG898" s="3066">
        <v>844.2</v>
      </c>
      <c r="AH898" s="3066">
        <v>90.4</v>
      </c>
      <c r="AI898" s="3066">
        <v>90.4</v>
      </c>
      <c r="AJ898" s="3066">
        <v>103.34</v>
      </c>
      <c r="AK898" s="3066">
        <v>103.34</v>
      </c>
      <c r="AL898" s="3066">
        <v>1037.94</v>
      </c>
      <c r="AM898" s="3066">
        <v>1037.94</v>
      </c>
      <c r="AN898" s="3066" t="s">
        <v>3560</v>
      </c>
      <c r="AP898" s="3068">
        <f t="shared" si="13"/>
        <v>21</v>
      </c>
    </row>
    <row r="899" spans="2:42" ht="27" customHeight="1">
      <c r="B899" s="3066">
        <v>907</v>
      </c>
      <c r="C899" s="3066" t="s">
        <v>6195</v>
      </c>
      <c r="D899" s="3066" t="s">
        <v>4209</v>
      </c>
      <c r="E899" s="3066" t="s">
        <v>6325</v>
      </c>
      <c r="F899" s="3066" t="s">
        <v>3917</v>
      </c>
      <c r="G899" s="3066" t="s">
        <v>1373</v>
      </c>
      <c r="H899" s="3066" t="s">
        <v>3560</v>
      </c>
      <c r="I899" s="3066" t="s">
        <v>3737</v>
      </c>
      <c r="J899" s="3066" t="s">
        <v>3633</v>
      </c>
      <c r="K899" s="3066" t="s">
        <v>3560</v>
      </c>
      <c r="L899" s="3066" t="s">
        <v>3634</v>
      </c>
      <c r="M899" s="3066" t="s">
        <v>6326</v>
      </c>
      <c r="N899" s="3066">
        <v>40.200000000000003</v>
      </c>
      <c r="O899" s="3066" t="s">
        <v>3931</v>
      </c>
      <c r="P899" s="3066" t="s">
        <v>3566</v>
      </c>
      <c r="Q899" s="3066">
        <v>1</v>
      </c>
      <c r="R899" s="3066">
        <v>5306.4</v>
      </c>
      <c r="S899" s="3066" t="s">
        <v>3567</v>
      </c>
      <c r="T899" s="3066">
        <v>20</v>
      </c>
      <c r="U899" s="3066">
        <v>804</v>
      </c>
      <c r="V899" s="3066" t="s">
        <v>3560</v>
      </c>
      <c r="W899" s="3066" t="s">
        <v>3568</v>
      </c>
      <c r="X899" s="3066">
        <v>2</v>
      </c>
      <c r="Y899" s="3066">
        <v>964.8</v>
      </c>
      <c r="Z899" s="3066" t="s">
        <v>3568</v>
      </c>
      <c r="AA899" s="3066" t="s">
        <v>3560</v>
      </c>
      <c r="AB899" s="3066" t="s">
        <v>3932</v>
      </c>
      <c r="AC899" s="3066" t="s">
        <v>3932</v>
      </c>
      <c r="AD899" s="3066" t="s">
        <v>3932</v>
      </c>
      <c r="AE899" s="3066" t="s">
        <v>3560</v>
      </c>
      <c r="AF899" s="3067">
        <v>804</v>
      </c>
      <c r="AG899" s="3066">
        <v>804</v>
      </c>
      <c r="AH899" s="3066">
        <v>80.400000000000006</v>
      </c>
      <c r="AI899" s="3066">
        <v>80.400000000000006</v>
      </c>
      <c r="AJ899" s="3066">
        <v>118.06</v>
      </c>
      <c r="AK899" s="3066">
        <v>118.06</v>
      </c>
      <c r="AL899" s="3066">
        <v>1002.46</v>
      </c>
      <c r="AM899" s="3066">
        <v>1002.46</v>
      </c>
      <c r="AN899" s="3066" t="s">
        <v>3560</v>
      </c>
      <c r="AP899" s="3068">
        <f t="shared" si="13"/>
        <v>20</v>
      </c>
    </row>
    <row r="900" spans="2:42" ht="27" customHeight="1">
      <c r="B900" s="3066">
        <v>908</v>
      </c>
      <c r="C900" s="3066" t="s">
        <v>6195</v>
      </c>
      <c r="D900" s="3066" t="s">
        <v>4209</v>
      </c>
      <c r="E900" s="3066" t="s">
        <v>6327</v>
      </c>
      <c r="F900" s="3066" t="s">
        <v>3917</v>
      </c>
      <c r="G900" s="3066" t="s">
        <v>1373</v>
      </c>
      <c r="H900" s="3066" t="s">
        <v>3560</v>
      </c>
      <c r="I900" s="3066" t="s">
        <v>6328</v>
      </c>
      <c r="J900" s="3066" t="s">
        <v>3560</v>
      </c>
      <c r="K900" s="3066" t="s">
        <v>3560</v>
      </c>
      <c r="L900" s="3066" t="s">
        <v>6329</v>
      </c>
      <c r="M900" s="3066" t="s">
        <v>6330</v>
      </c>
      <c r="N900" s="3066">
        <v>40.200000000000003</v>
      </c>
      <c r="O900" s="3066" t="s">
        <v>3950</v>
      </c>
      <c r="P900" s="3066" t="s">
        <v>3566</v>
      </c>
      <c r="Q900" s="3066">
        <v>1</v>
      </c>
      <c r="R900" s="3066">
        <v>9346</v>
      </c>
      <c r="S900" s="3066" t="s">
        <v>3567</v>
      </c>
      <c r="T900" s="3066">
        <v>21</v>
      </c>
      <c r="U900" s="3066">
        <v>844.2</v>
      </c>
      <c r="V900" s="3066" t="s">
        <v>3560</v>
      </c>
      <c r="W900" s="3066" t="s">
        <v>3568</v>
      </c>
      <c r="X900" s="3066">
        <v>2.25</v>
      </c>
      <c r="Y900" s="3066">
        <v>1084.8</v>
      </c>
      <c r="Z900" s="3066" t="s">
        <v>3568</v>
      </c>
      <c r="AA900" s="3066" t="s">
        <v>3560</v>
      </c>
      <c r="AB900" s="3066" t="s">
        <v>3951</v>
      </c>
      <c r="AC900" s="3066" t="s">
        <v>3951</v>
      </c>
      <c r="AD900" s="3066" t="s">
        <v>3951</v>
      </c>
      <c r="AE900" s="3066" t="s">
        <v>3560</v>
      </c>
      <c r="AF900" s="3067">
        <v>844.2</v>
      </c>
      <c r="AG900" s="3066">
        <v>844.2</v>
      </c>
      <c r="AH900" s="3066">
        <v>90.4</v>
      </c>
      <c r="AI900" s="3066">
        <v>90.4</v>
      </c>
      <c r="AJ900" s="3066">
        <v>134.02000000000001</v>
      </c>
      <c r="AK900" s="3066">
        <v>134.02000000000001</v>
      </c>
      <c r="AL900" s="3066">
        <v>1068.6199999999999</v>
      </c>
      <c r="AM900" s="3066">
        <v>1068.6199999999999</v>
      </c>
      <c r="AN900" s="3066" t="s">
        <v>3560</v>
      </c>
      <c r="AP900" s="3068">
        <f t="shared" ref="AP900:AP963" si="14">AF900/N900</f>
        <v>21</v>
      </c>
    </row>
    <row r="901" spans="2:42" ht="27" customHeight="1">
      <c r="B901" s="3066">
        <v>909</v>
      </c>
      <c r="C901" s="3066" t="s">
        <v>6195</v>
      </c>
      <c r="D901" s="3066" t="s">
        <v>4209</v>
      </c>
      <c r="E901" s="3066" t="s">
        <v>6331</v>
      </c>
      <c r="F901" s="3066" t="s">
        <v>3917</v>
      </c>
      <c r="G901" s="3066" t="s">
        <v>1373</v>
      </c>
      <c r="H901" s="3066" t="s">
        <v>3560</v>
      </c>
      <c r="I901" s="3066" t="s">
        <v>6332</v>
      </c>
      <c r="J901" s="3066" t="s">
        <v>3560</v>
      </c>
      <c r="K901" s="3066" t="s">
        <v>3560</v>
      </c>
      <c r="L901" s="3066" t="s">
        <v>6333</v>
      </c>
      <c r="M901" s="3066" t="s">
        <v>6334</v>
      </c>
      <c r="N901" s="3066">
        <v>40.200000000000003</v>
      </c>
      <c r="O901" s="3066" t="s">
        <v>3950</v>
      </c>
      <c r="P901" s="3066" t="s">
        <v>3566</v>
      </c>
      <c r="Q901" s="3066">
        <v>1</v>
      </c>
      <c r="R901" s="3066">
        <v>4673</v>
      </c>
      <c r="S901" s="3066" t="s">
        <v>3567</v>
      </c>
      <c r="T901" s="3066">
        <v>21</v>
      </c>
      <c r="U901" s="3066">
        <v>844.2</v>
      </c>
      <c r="V901" s="3066" t="s">
        <v>3560</v>
      </c>
      <c r="W901" s="3066" t="s">
        <v>3568</v>
      </c>
      <c r="X901" s="3066">
        <v>2.25</v>
      </c>
      <c r="Y901" s="3066">
        <v>1084.8</v>
      </c>
      <c r="Z901" s="3066" t="s">
        <v>3568</v>
      </c>
      <c r="AA901" s="3066" t="s">
        <v>3560</v>
      </c>
      <c r="AB901" s="3066" t="s">
        <v>3951</v>
      </c>
      <c r="AC901" s="3066" t="s">
        <v>3951</v>
      </c>
      <c r="AD901" s="3066" t="s">
        <v>3951</v>
      </c>
      <c r="AE901" s="3066" t="s">
        <v>3560</v>
      </c>
      <c r="AF901" s="3067">
        <v>844.2</v>
      </c>
      <c r="AG901" s="3066">
        <v>0</v>
      </c>
      <c r="AH901" s="3066">
        <v>90.4</v>
      </c>
      <c r="AI901" s="3066">
        <v>0</v>
      </c>
      <c r="AJ901" s="3066">
        <v>82.78</v>
      </c>
      <c r="AK901" s="3066">
        <v>0</v>
      </c>
      <c r="AL901" s="3066">
        <v>1017.38</v>
      </c>
      <c r="AM901" s="3066">
        <v>0</v>
      </c>
      <c r="AN901" s="3066" t="s">
        <v>3560</v>
      </c>
      <c r="AP901" s="3068">
        <f t="shared" si="14"/>
        <v>21</v>
      </c>
    </row>
    <row r="902" spans="2:42" ht="27" customHeight="1">
      <c r="B902" s="3066">
        <v>910</v>
      </c>
      <c r="C902" s="3066" t="s">
        <v>6195</v>
      </c>
      <c r="D902" s="3066" t="s">
        <v>4209</v>
      </c>
      <c r="E902" s="3066" t="s">
        <v>6335</v>
      </c>
      <c r="F902" s="3066" t="s">
        <v>3917</v>
      </c>
      <c r="G902" s="3066" t="s">
        <v>1373</v>
      </c>
      <c r="H902" s="3066" t="s">
        <v>3560</v>
      </c>
      <c r="I902" s="3066" t="s">
        <v>3722</v>
      </c>
      <c r="J902" s="3066" t="s">
        <v>3723</v>
      </c>
      <c r="K902" s="3066" t="s">
        <v>3560</v>
      </c>
      <c r="L902" s="3066" t="s">
        <v>3724</v>
      </c>
      <c r="M902" s="3066" t="s">
        <v>6336</v>
      </c>
      <c r="N902" s="3066">
        <v>40.200000000000003</v>
      </c>
      <c r="O902" s="3066" t="s">
        <v>3744</v>
      </c>
      <c r="P902" s="3066" t="s">
        <v>3566</v>
      </c>
      <c r="Q902" s="3066">
        <v>1</v>
      </c>
      <c r="R902" s="3066">
        <v>5306.4</v>
      </c>
      <c r="S902" s="3066" t="s">
        <v>3567</v>
      </c>
      <c r="T902" s="3066">
        <v>20</v>
      </c>
      <c r="U902" s="3066">
        <v>804</v>
      </c>
      <c r="V902" s="3066" t="s">
        <v>3560</v>
      </c>
      <c r="W902" s="3066" t="s">
        <v>3568</v>
      </c>
      <c r="X902" s="3066">
        <v>2</v>
      </c>
      <c r="Y902" s="3066">
        <v>964.8</v>
      </c>
      <c r="Z902" s="3066" t="s">
        <v>3568</v>
      </c>
      <c r="AA902" s="3066" t="s">
        <v>3560</v>
      </c>
      <c r="AB902" s="3066" t="s">
        <v>3746</v>
      </c>
      <c r="AC902" s="3066" t="s">
        <v>3746</v>
      </c>
      <c r="AD902" s="3066" t="s">
        <v>3746</v>
      </c>
      <c r="AE902" s="3066" t="s">
        <v>3560</v>
      </c>
      <c r="AF902" s="3067">
        <v>804</v>
      </c>
      <c r="AG902" s="3066">
        <v>804</v>
      </c>
      <c r="AH902" s="3066">
        <v>80.400000000000006</v>
      </c>
      <c r="AI902" s="3066">
        <v>80.400000000000006</v>
      </c>
      <c r="AJ902" s="3066">
        <v>93.96</v>
      </c>
      <c r="AK902" s="3066">
        <v>93.96</v>
      </c>
      <c r="AL902" s="3066">
        <v>978.36</v>
      </c>
      <c r="AM902" s="3066">
        <v>978.36</v>
      </c>
      <c r="AN902" s="3066" t="s">
        <v>3560</v>
      </c>
      <c r="AP902" s="3068">
        <f t="shared" si="14"/>
        <v>20</v>
      </c>
    </row>
    <row r="903" spans="2:42" ht="27" customHeight="1">
      <c r="B903" s="3066">
        <v>911</v>
      </c>
      <c r="C903" s="3066" t="s">
        <v>6195</v>
      </c>
      <c r="D903" s="3066" t="s">
        <v>4209</v>
      </c>
      <c r="E903" s="3066" t="s">
        <v>6337</v>
      </c>
      <c r="F903" s="3066" t="s">
        <v>3917</v>
      </c>
      <c r="G903" s="3066" t="s">
        <v>1373</v>
      </c>
      <c r="H903" s="3066" t="s">
        <v>3560</v>
      </c>
      <c r="I903" s="3066" t="s">
        <v>6328</v>
      </c>
      <c r="J903" s="3066" t="s">
        <v>3560</v>
      </c>
      <c r="K903" s="3066" t="s">
        <v>3560</v>
      </c>
      <c r="L903" s="3066" t="s">
        <v>6329</v>
      </c>
      <c r="M903" s="3066" t="s">
        <v>6338</v>
      </c>
      <c r="N903" s="3066">
        <v>40.200000000000003</v>
      </c>
      <c r="O903" s="3066" t="s">
        <v>3950</v>
      </c>
      <c r="P903" s="3066" t="s">
        <v>3566</v>
      </c>
      <c r="Q903" s="3066">
        <v>1</v>
      </c>
      <c r="R903" s="3066">
        <v>0</v>
      </c>
      <c r="S903" s="3066" t="s">
        <v>3577</v>
      </c>
      <c r="T903" s="3066">
        <v>21</v>
      </c>
      <c r="U903" s="3066">
        <v>844.2</v>
      </c>
      <c r="V903" s="3066" t="s">
        <v>3560</v>
      </c>
      <c r="W903" s="3066" t="s">
        <v>3568</v>
      </c>
      <c r="X903" s="3066">
        <v>2.25</v>
      </c>
      <c r="Y903" s="3066">
        <v>1084.8</v>
      </c>
      <c r="Z903" s="3066" t="s">
        <v>3568</v>
      </c>
      <c r="AA903" s="3066" t="s">
        <v>3560</v>
      </c>
      <c r="AB903" s="3066" t="s">
        <v>3951</v>
      </c>
      <c r="AC903" s="3066" t="s">
        <v>3951</v>
      </c>
      <c r="AD903" s="3066" t="s">
        <v>3951</v>
      </c>
      <c r="AE903" s="3066" t="s">
        <v>3560</v>
      </c>
      <c r="AF903" s="3067">
        <v>844.2</v>
      </c>
      <c r="AG903" s="3066">
        <v>844.2</v>
      </c>
      <c r="AH903" s="3066">
        <v>90.4</v>
      </c>
      <c r="AI903" s="3066">
        <v>90.4</v>
      </c>
      <c r="AJ903" s="3066">
        <v>42.75</v>
      </c>
      <c r="AK903" s="3066">
        <v>42.75</v>
      </c>
      <c r="AL903" s="3066">
        <v>977.35</v>
      </c>
      <c r="AM903" s="3066">
        <v>977.35</v>
      </c>
      <c r="AN903" s="3066" t="s">
        <v>3560</v>
      </c>
      <c r="AP903" s="3068">
        <f t="shared" si="14"/>
        <v>21</v>
      </c>
    </row>
    <row r="904" spans="2:42" ht="27" customHeight="1">
      <c r="B904" s="3066">
        <v>912</v>
      </c>
      <c r="C904" s="3066" t="s">
        <v>6195</v>
      </c>
      <c r="D904" s="3066" t="s">
        <v>4209</v>
      </c>
      <c r="E904" s="3066" t="s">
        <v>6339</v>
      </c>
      <c r="F904" s="3066" t="s">
        <v>3917</v>
      </c>
      <c r="G904" s="3066" t="s">
        <v>3560</v>
      </c>
      <c r="H904" s="3066" t="s">
        <v>3560</v>
      </c>
      <c r="I904" s="3066" t="s">
        <v>6340</v>
      </c>
      <c r="J904" s="3066" t="s">
        <v>6340</v>
      </c>
      <c r="K904" s="3066" t="s">
        <v>3560</v>
      </c>
      <c r="L904" s="3066" t="s">
        <v>6341</v>
      </c>
      <c r="M904" s="3066" t="s">
        <v>6342</v>
      </c>
      <c r="N904" s="3066">
        <v>40.200000000000003</v>
      </c>
      <c r="O904" s="3066" t="s">
        <v>3950</v>
      </c>
      <c r="P904" s="3066" t="s">
        <v>3566</v>
      </c>
      <c r="Q904" s="3066">
        <v>1</v>
      </c>
      <c r="R904" s="3066">
        <v>2683</v>
      </c>
      <c r="S904" s="3066" t="s">
        <v>3567</v>
      </c>
      <c r="T904" s="3066">
        <v>21</v>
      </c>
      <c r="U904" s="3066">
        <v>844.2</v>
      </c>
      <c r="V904" s="3066" t="s">
        <v>3560</v>
      </c>
      <c r="W904" s="3066" t="s">
        <v>3568</v>
      </c>
      <c r="X904" s="3066">
        <v>2.25</v>
      </c>
      <c r="Y904" s="3066">
        <v>1084.8</v>
      </c>
      <c r="Z904" s="3066" t="s">
        <v>3568</v>
      </c>
      <c r="AA904" s="3066" t="s">
        <v>3560</v>
      </c>
      <c r="AB904" s="3066" t="s">
        <v>3951</v>
      </c>
      <c r="AC904" s="3066" t="s">
        <v>3951</v>
      </c>
      <c r="AD904" s="3066" t="s">
        <v>3951</v>
      </c>
      <c r="AE904" s="3066" t="s">
        <v>3560</v>
      </c>
      <c r="AF904" s="3067">
        <v>844.2</v>
      </c>
      <c r="AG904" s="3066">
        <v>844.2</v>
      </c>
      <c r="AH904" s="3066">
        <v>90.4</v>
      </c>
      <c r="AI904" s="3066">
        <v>90.4</v>
      </c>
      <c r="AJ904" s="3066">
        <v>43.85</v>
      </c>
      <c r="AK904" s="3066">
        <v>43.85</v>
      </c>
      <c r="AL904" s="3066">
        <v>978.45</v>
      </c>
      <c r="AM904" s="3066">
        <v>978.45</v>
      </c>
      <c r="AN904" s="3066" t="s">
        <v>3560</v>
      </c>
      <c r="AP904" s="3068">
        <f t="shared" si="14"/>
        <v>21</v>
      </c>
    </row>
    <row r="905" spans="2:42" ht="27" customHeight="1">
      <c r="B905" s="3066">
        <v>913</v>
      </c>
      <c r="C905" s="3066" t="s">
        <v>6195</v>
      </c>
      <c r="D905" s="3066" t="s">
        <v>4209</v>
      </c>
      <c r="E905" s="3066" t="s">
        <v>6343</v>
      </c>
      <c r="F905" s="3066" t="s">
        <v>3917</v>
      </c>
      <c r="G905" s="3066" t="s">
        <v>1373</v>
      </c>
      <c r="H905" s="3066" t="s">
        <v>3560</v>
      </c>
      <c r="I905" s="3066" t="s">
        <v>3722</v>
      </c>
      <c r="J905" s="3066" t="s">
        <v>3723</v>
      </c>
      <c r="K905" s="3066" t="s">
        <v>3560</v>
      </c>
      <c r="L905" s="3066" t="s">
        <v>3724</v>
      </c>
      <c r="M905" s="3066" t="s">
        <v>6344</v>
      </c>
      <c r="N905" s="3066">
        <v>40.200000000000003</v>
      </c>
      <c r="O905" s="3066" t="s">
        <v>3744</v>
      </c>
      <c r="P905" s="3066" t="s">
        <v>3566</v>
      </c>
      <c r="Q905" s="3066">
        <v>1</v>
      </c>
      <c r="R905" s="3066">
        <v>0</v>
      </c>
      <c r="S905" s="3066" t="s">
        <v>3577</v>
      </c>
      <c r="T905" s="3066">
        <v>20</v>
      </c>
      <c r="U905" s="3066">
        <v>804</v>
      </c>
      <c r="V905" s="3066" t="s">
        <v>3560</v>
      </c>
      <c r="W905" s="3066" t="s">
        <v>3568</v>
      </c>
      <c r="X905" s="3066">
        <v>2</v>
      </c>
      <c r="Y905" s="3066">
        <v>964.8</v>
      </c>
      <c r="Z905" s="3066" t="s">
        <v>3568</v>
      </c>
      <c r="AA905" s="3066" t="s">
        <v>3560</v>
      </c>
      <c r="AB905" s="3066" t="s">
        <v>3746</v>
      </c>
      <c r="AC905" s="3066" t="s">
        <v>3746</v>
      </c>
      <c r="AD905" s="3066" t="s">
        <v>3746</v>
      </c>
      <c r="AE905" s="3066" t="s">
        <v>3560</v>
      </c>
      <c r="AF905" s="3067">
        <v>804</v>
      </c>
      <c r="AG905" s="3066">
        <v>804</v>
      </c>
      <c r="AH905" s="3066">
        <v>80.400000000000006</v>
      </c>
      <c r="AI905" s="3066">
        <v>80.400000000000006</v>
      </c>
      <c r="AJ905" s="3066">
        <v>102.6</v>
      </c>
      <c r="AK905" s="3066">
        <v>102.6</v>
      </c>
      <c r="AL905" s="3066">
        <v>987</v>
      </c>
      <c r="AM905" s="3066">
        <v>987</v>
      </c>
      <c r="AN905" s="3066" t="s">
        <v>3560</v>
      </c>
      <c r="AP905" s="3068">
        <f t="shared" si="14"/>
        <v>20</v>
      </c>
    </row>
    <row r="906" spans="2:42" ht="27" customHeight="1">
      <c r="B906" s="3066">
        <v>914</v>
      </c>
      <c r="C906" s="3066" t="s">
        <v>6195</v>
      </c>
      <c r="D906" s="3066" t="s">
        <v>4209</v>
      </c>
      <c r="E906" s="3066" t="s">
        <v>6345</v>
      </c>
      <c r="F906" s="3066" t="s">
        <v>3917</v>
      </c>
      <c r="G906" s="3066" t="s">
        <v>1373</v>
      </c>
      <c r="H906" s="3066" t="s">
        <v>3560</v>
      </c>
      <c r="I906" s="3066" t="s">
        <v>3737</v>
      </c>
      <c r="J906" s="3066" t="s">
        <v>3633</v>
      </c>
      <c r="K906" s="3066" t="s">
        <v>3560</v>
      </c>
      <c r="L906" s="3066" t="s">
        <v>3634</v>
      </c>
      <c r="M906" s="3066" t="s">
        <v>6346</v>
      </c>
      <c r="N906" s="3066">
        <v>40.200000000000003</v>
      </c>
      <c r="O906" s="3066" t="s">
        <v>3931</v>
      </c>
      <c r="P906" s="3066" t="s">
        <v>3566</v>
      </c>
      <c r="Q906" s="3066">
        <v>1</v>
      </c>
      <c r="R906" s="3066">
        <v>0</v>
      </c>
      <c r="S906" s="3066" t="s">
        <v>3577</v>
      </c>
      <c r="T906" s="3066">
        <v>20</v>
      </c>
      <c r="U906" s="3066">
        <v>804</v>
      </c>
      <c r="V906" s="3066" t="s">
        <v>3560</v>
      </c>
      <c r="W906" s="3066" t="s">
        <v>3568</v>
      </c>
      <c r="X906" s="3066">
        <v>2</v>
      </c>
      <c r="Y906" s="3066">
        <v>964.8</v>
      </c>
      <c r="Z906" s="3066" t="s">
        <v>3568</v>
      </c>
      <c r="AA906" s="3066" t="s">
        <v>3560</v>
      </c>
      <c r="AB906" s="3066" t="s">
        <v>3932</v>
      </c>
      <c r="AC906" s="3066" t="s">
        <v>3932</v>
      </c>
      <c r="AD906" s="3066" t="s">
        <v>3932</v>
      </c>
      <c r="AE906" s="3066" t="s">
        <v>3560</v>
      </c>
      <c r="AF906" s="3067">
        <v>804</v>
      </c>
      <c r="AG906" s="3066">
        <v>804</v>
      </c>
      <c r="AH906" s="3066">
        <v>80.400000000000006</v>
      </c>
      <c r="AI906" s="3066">
        <v>80.400000000000006</v>
      </c>
      <c r="AJ906" s="3066">
        <v>241.17</v>
      </c>
      <c r="AK906" s="3066">
        <v>241.17</v>
      </c>
      <c r="AL906" s="3066">
        <v>1125.57</v>
      </c>
      <c r="AM906" s="3066">
        <v>1125.57</v>
      </c>
      <c r="AN906" s="3066" t="s">
        <v>3560</v>
      </c>
      <c r="AP906" s="3068">
        <f t="shared" si="14"/>
        <v>20</v>
      </c>
    </row>
    <row r="907" spans="2:42" ht="27" customHeight="1">
      <c r="B907" s="3066">
        <v>915</v>
      </c>
      <c r="C907" s="3066" t="s">
        <v>6195</v>
      </c>
      <c r="D907" s="3066" t="s">
        <v>4209</v>
      </c>
      <c r="E907" s="3066" t="s">
        <v>6347</v>
      </c>
      <c r="F907" s="3066" t="s">
        <v>3917</v>
      </c>
      <c r="G907" s="3066" t="s">
        <v>3560</v>
      </c>
      <c r="H907" s="3066" t="s">
        <v>3560</v>
      </c>
      <c r="I907" s="3066" t="s">
        <v>3988</v>
      </c>
      <c r="J907" s="3066" t="s">
        <v>3989</v>
      </c>
      <c r="K907" s="3066" t="s">
        <v>3560</v>
      </c>
      <c r="L907" s="3066" t="s">
        <v>3990</v>
      </c>
      <c r="M907" s="3066" t="s">
        <v>6348</v>
      </c>
      <c r="N907" s="3066">
        <v>40.200000000000003</v>
      </c>
      <c r="O907" s="3066" t="s">
        <v>6349</v>
      </c>
      <c r="P907" s="3066" t="s">
        <v>3566</v>
      </c>
      <c r="Q907" s="3066">
        <v>0</v>
      </c>
      <c r="R907" s="3066">
        <v>2653.2</v>
      </c>
      <c r="S907" s="3066" t="s">
        <v>3567</v>
      </c>
      <c r="T907" s="3066">
        <v>21</v>
      </c>
      <c r="U907" s="3066">
        <v>844.2</v>
      </c>
      <c r="V907" s="3066" t="s">
        <v>3560</v>
      </c>
      <c r="W907" s="3066" t="s">
        <v>3568</v>
      </c>
      <c r="X907" s="3066">
        <v>2</v>
      </c>
      <c r="Y907" s="3066">
        <v>964.8</v>
      </c>
      <c r="Z907" s="3066" t="s">
        <v>3568</v>
      </c>
      <c r="AA907" s="3066" t="s">
        <v>3560</v>
      </c>
      <c r="AB907" s="3066" t="s">
        <v>6350</v>
      </c>
      <c r="AC907" s="3066" t="s">
        <v>6350</v>
      </c>
      <c r="AD907" s="3066" t="s">
        <v>6350</v>
      </c>
      <c r="AE907" s="3066" t="s">
        <v>3560</v>
      </c>
      <c r="AF907" s="3067">
        <v>804</v>
      </c>
      <c r="AG907" s="3066">
        <v>0</v>
      </c>
      <c r="AH907" s="3066">
        <v>80.400000000000006</v>
      </c>
      <c r="AI907" s="3066">
        <v>0</v>
      </c>
      <c r="AJ907" s="3066">
        <v>36.799999999999997</v>
      </c>
      <c r="AK907" s="3066">
        <v>0</v>
      </c>
      <c r="AL907" s="3066">
        <v>921.2</v>
      </c>
      <c r="AM907" s="3066">
        <v>0</v>
      </c>
      <c r="AN907" s="3066" t="s">
        <v>3560</v>
      </c>
      <c r="AP907" s="3068">
        <f t="shared" si="14"/>
        <v>20</v>
      </c>
    </row>
    <row r="908" spans="2:42" ht="27" customHeight="1">
      <c r="B908" s="3066">
        <v>916</v>
      </c>
      <c r="C908" s="3066" t="s">
        <v>6195</v>
      </c>
      <c r="D908" s="3066" t="s">
        <v>4209</v>
      </c>
      <c r="E908" s="3066" t="s">
        <v>6351</v>
      </c>
      <c r="F908" s="3066" t="s">
        <v>3917</v>
      </c>
      <c r="G908" s="3066" t="s">
        <v>1373</v>
      </c>
      <c r="H908" s="3066" t="s">
        <v>3560</v>
      </c>
      <c r="I908" s="3066" t="s">
        <v>3813</v>
      </c>
      <c r="J908" s="3066" t="s">
        <v>3814</v>
      </c>
      <c r="K908" s="3066" t="s">
        <v>3560</v>
      </c>
      <c r="L908" s="3066" t="s">
        <v>3815</v>
      </c>
      <c r="M908" s="3066" t="s">
        <v>6352</v>
      </c>
      <c r="N908" s="3066">
        <v>40.200000000000003</v>
      </c>
      <c r="O908" s="3066" t="s">
        <v>3919</v>
      </c>
      <c r="P908" s="3066" t="s">
        <v>3566</v>
      </c>
      <c r="Q908" s="3066">
        <v>1</v>
      </c>
      <c r="R908" s="3066">
        <v>0</v>
      </c>
      <c r="S908" s="3066" t="s">
        <v>3577</v>
      </c>
      <c r="T908" s="3066">
        <v>20</v>
      </c>
      <c r="U908" s="3066">
        <v>804</v>
      </c>
      <c r="V908" s="3066" t="s">
        <v>3560</v>
      </c>
      <c r="W908" s="3066" t="s">
        <v>3568</v>
      </c>
      <c r="X908" s="3066">
        <v>2</v>
      </c>
      <c r="Y908" s="3066">
        <v>964.8</v>
      </c>
      <c r="Z908" s="3066" t="s">
        <v>3568</v>
      </c>
      <c r="AA908" s="3066" t="s">
        <v>3560</v>
      </c>
      <c r="AB908" s="3066" t="s">
        <v>3920</v>
      </c>
      <c r="AC908" s="3066" t="s">
        <v>3920</v>
      </c>
      <c r="AD908" s="3066" t="s">
        <v>3920</v>
      </c>
      <c r="AE908" s="3066" t="s">
        <v>3560</v>
      </c>
      <c r="AF908" s="3067">
        <v>804</v>
      </c>
      <c r="AG908" s="3066">
        <v>804</v>
      </c>
      <c r="AH908" s="3066">
        <v>80.400000000000006</v>
      </c>
      <c r="AI908" s="3066">
        <v>80.400000000000006</v>
      </c>
      <c r="AJ908" s="3066">
        <v>145.58000000000001</v>
      </c>
      <c r="AK908" s="3066">
        <v>145.58000000000001</v>
      </c>
      <c r="AL908" s="3066">
        <v>1029.98</v>
      </c>
      <c r="AM908" s="3066">
        <v>1029.98</v>
      </c>
      <c r="AN908" s="3066" t="s">
        <v>3560</v>
      </c>
      <c r="AP908" s="3068">
        <f t="shared" si="14"/>
        <v>20</v>
      </c>
    </row>
    <row r="909" spans="2:42" ht="27" customHeight="1">
      <c r="B909" s="3066">
        <v>917</v>
      </c>
      <c r="C909" s="3066" t="s">
        <v>6195</v>
      </c>
      <c r="D909" s="3066" t="s">
        <v>4209</v>
      </c>
      <c r="E909" s="3066" t="s">
        <v>6353</v>
      </c>
      <c r="F909" s="3066" t="s">
        <v>3917</v>
      </c>
      <c r="G909" s="3066" t="s">
        <v>1373</v>
      </c>
      <c r="H909" s="3066" t="s">
        <v>3560</v>
      </c>
      <c r="I909" s="3066" t="s">
        <v>3813</v>
      </c>
      <c r="J909" s="3066" t="s">
        <v>3814</v>
      </c>
      <c r="K909" s="3066" t="s">
        <v>3560</v>
      </c>
      <c r="L909" s="3066" t="s">
        <v>3815</v>
      </c>
      <c r="M909" s="3066" t="s">
        <v>6354</v>
      </c>
      <c r="N909" s="3066">
        <v>40.200000000000003</v>
      </c>
      <c r="O909" s="3066" t="s">
        <v>3919</v>
      </c>
      <c r="P909" s="3066" t="s">
        <v>3566</v>
      </c>
      <c r="Q909" s="3066">
        <v>1</v>
      </c>
      <c r="R909" s="3066">
        <v>0</v>
      </c>
      <c r="S909" s="3066" t="s">
        <v>3577</v>
      </c>
      <c r="T909" s="3066">
        <v>20</v>
      </c>
      <c r="U909" s="3066">
        <v>804</v>
      </c>
      <c r="V909" s="3066" t="s">
        <v>3560</v>
      </c>
      <c r="W909" s="3066" t="s">
        <v>3568</v>
      </c>
      <c r="X909" s="3066">
        <v>2</v>
      </c>
      <c r="Y909" s="3066">
        <v>964.8</v>
      </c>
      <c r="Z909" s="3066" t="s">
        <v>3568</v>
      </c>
      <c r="AA909" s="3066" t="s">
        <v>3560</v>
      </c>
      <c r="AB909" s="3066" t="s">
        <v>3920</v>
      </c>
      <c r="AC909" s="3066" t="s">
        <v>3920</v>
      </c>
      <c r="AD909" s="3066" t="s">
        <v>3920</v>
      </c>
      <c r="AE909" s="3066" t="s">
        <v>3560</v>
      </c>
      <c r="AF909" s="3067">
        <v>804</v>
      </c>
      <c r="AG909" s="3066">
        <v>804</v>
      </c>
      <c r="AH909" s="3066">
        <v>80.400000000000006</v>
      </c>
      <c r="AI909" s="3066">
        <v>80.400000000000006</v>
      </c>
      <c r="AJ909" s="3066">
        <v>193.31</v>
      </c>
      <c r="AK909" s="3066">
        <v>193.31</v>
      </c>
      <c r="AL909" s="3066">
        <v>1077.71</v>
      </c>
      <c r="AM909" s="3066">
        <v>1077.71</v>
      </c>
      <c r="AN909" s="3066" t="s">
        <v>3560</v>
      </c>
      <c r="AP909" s="3068">
        <f t="shared" si="14"/>
        <v>20</v>
      </c>
    </row>
    <row r="910" spans="2:42" ht="27" customHeight="1">
      <c r="B910" s="3066">
        <v>918</v>
      </c>
      <c r="C910" s="3066" t="s">
        <v>6355</v>
      </c>
      <c r="D910" s="3066" t="s">
        <v>4003</v>
      </c>
      <c r="E910" s="3066" t="s">
        <v>6356</v>
      </c>
      <c r="F910" s="3066" t="s">
        <v>3917</v>
      </c>
      <c r="G910" s="3066" t="s">
        <v>1373</v>
      </c>
      <c r="H910" s="3066" t="s">
        <v>3560</v>
      </c>
      <c r="I910" s="3066" t="s">
        <v>6357</v>
      </c>
      <c r="J910" s="3066" t="s">
        <v>6358</v>
      </c>
      <c r="K910" s="3066" t="s">
        <v>3560</v>
      </c>
      <c r="L910" s="3066" t="s">
        <v>6359</v>
      </c>
      <c r="M910" s="3066" t="s">
        <v>6360</v>
      </c>
      <c r="N910" s="3066">
        <v>35.700000000000003</v>
      </c>
      <c r="O910" s="3066" t="s">
        <v>6304</v>
      </c>
      <c r="P910" s="3066" t="s">
        <v>3566</v>
      </c>
      <c r="Q910" s="3066">
        <v>1</v>
      </c>
      <c r="R910" s="3066">
        <v>14680</v>
      </c>
      <c r="S910" s="3066" t="s">
        <v>3567</v>
      </c>
      <c r="T910" s="3066">
        <v>20</v>
      </c>
      <c r="U910" s="3066">
        <v>714</v>
      </c>
      <c r="V910" s="3066" t="s">
        <v>3560</v>
      </c>
      <c r="W910" s="3066" t="s">
        <v>3568</v>
      </c>
      <c r="X910" s="3066">
        <v>2.2799999999999998</v>
      </c>
      <c r="Y910" s="3066">
        <v>976.8</v>
      </c>
      <c r="Z910" s="3066" t="s">
        <v>3568</v>
      </c>
      <c r="AA910" s="3066" t="s">
        <v>3560</v>
      </c>
      <c r="AB910" s="3066" t="s">
        <v>4483</v>
      </c>
      <c r="AC910" s="3066" t="s">
        <v>4483</v>
      </c>
      <c r="AD910" s="3066" t="s">
        <v>4483</v>
      </c>
      <c r="AE910" s="3066" t="s">
        <v>3560</v>
      </c>
      <c r="AF910" s="3067">
        <v>714</v>
      </c>
      <c r="AG910" s="3066">
        <v>714</v>
      </c>
      <c r="AH910" s="3066">
        <v>81.400000000000006</v>
      </c>
      <c r="AI910" s="3066">
        <v>81.400000000000006</v>
      </c>
      <c r="AJ910" s="3066">
        <v>8.25</v>
      </c>
      <c r="AK910" s="3066">
        <v>8.25</v>
      </c>
      <c r="AL910" s="3066">
        <v>803.65</v>
      </c>
      <c r="AM910" s="3066">
        <v>803.65</v>
      </c>
      <c r="AN910" s="3066" t="s">
        <v>3560</v>
      </c>
      <c r="AP910" s="3068">
        <f t="shared" si="14"/>
        <v>20</v>
      </c>
    </row>
    <row r="911" spans="2:42" ht="27" customHeight="1">
      <c r="B911" s="3066">
        <v>919</v>
      </c>
      <c r="C911" s="3066" t="s">
        <v>6355</v>
      </c>
      <c r="D911" s="3066" t="s">
        <v>4003</v>
      </c>
      <c r="E911" s="3066" t="s">
        <v>6361</v>
      </c>
      <c r="F911" s="3066" t="s">
        <v>3917</v>
      </c>
      <c r="G911" s="3066" t="s">
        <v>1373</v>
      </c>
      <c r="H911" s="3066" t="s">
        <v>3560</v>
      </c>
      <c r="I911" s="3066" t="s">
        <v>6357</v>
      </c>
      <c r="J911" s="3066" t="s">
        <v>6358</v>
      </c>
      <c r="K911" s="3066" t="s">
        <v>3560</v>
      </c>
      <c r="L911" s="3066" t="s">
        <v>6359</v>
      </c>
      <c r="M911" s="3066" t="s">
        <v>6362</v>
      </c>
      <c r="N911" s="3066">
        <v>33</v>
      </c>
      <c r="O911" s="3066" t="s">
        <v>6304</v>
      </c>
      <c r="P911" s="3066" t="s">
        <v>3566</v>
      </c>
      <c r="Q911" s="3066">
        <v>1</v>
      </c>
      <c r="R911" s="3066">
        <v>0</v>
      </c>
      <c r="S911" s="3066" t="s">
        <v>3577</v>
      </c>
      <c r="T911" s="3066">
        <v>20</v>
      </c>
      <c r="U911" s="3066">
        <v>660</v>
      </c>
      <c r="V911" s="3066" t="s">
        <v>3560</v>
      </c>
      <c r="W911" s="3066" t="s">
        <v>3568</v>
      </c>
      <c r="X911" s="3066">
        <v>2.2999999999999998</v>
      </c>
      <c r="Y911" s="3066">
        <v>912</v>
      </c>
      <c r="Z911" s="3066" t="s">
        <v>3568</v>
      </c>
      <c r="AA911" s="3066" t="s">
        <v>3560</v>
      </c>
      <c r="AB911" s="3066" t="s">
        <v>4483</v>
      </c>
      <c r="AC911" s="3066" t="s">
        <v>4483</v>
      </c>
      <c r="AD911" s="3066" t="s">
        <v>4483</v>
      </c>
      <c r="AE911" s="3066" t="s">
        <v>3560</v>
      </c>
      <c r="AF911" s="3067">
        <v>660</v>
      </c>
      <c r="AG911" s="3066">
        <v>660</v>
      </c>
      <c r="AH911" s="3066">
        <v>76</v>
      </c>
      <c r="AI911" s="3066">
        <v>76</v>
      </c>
      <c r="AJ911" s="3066">
        <v>0</v>
      </c>
      <c r="AK911" s="3066">
        <v>0</v>
      </c>
      <c r="AL911" s="3066">
        <v>736</v>
      </c>
      <c r="AM911" s="3066">
        <v>736</v>
      </c>
      <c r="AN911" s="3066" t="s">
        <v>3560</v>
      </c>
      <c r="AP911" s="3068">
        <f t="shared" si="14"/>
        <v>20</v>
      </c>
    </row>
    <row r="912" spans="2:42" ht="27" customHeight="1">
      <c r="B912" s="3066">
        <v>920</v>
      </c>
      <c r="C912" s="3066" t="s">
        <v>6355</v>
      </c>
      <c r="D912" s="3066" t="s">
        <v>4003</v>
      </c>
      <c r="E912" s="3066" t="s">
        <v>6363</v>
      </c>
      <c r="F912" s="3066" t="s">
        <v>3917</v>
      </c>
      <c r="G912" s="3066" t="s">
        <v>1373</v>
      </c>
      <c r="H912" s="3066" t="s">
        <v>3560</v>
      </c>
      <c r="I912" s="3066" t="s">
        <v>6357</v>
      </c>
      <c r="J912" s="3066" t="s">
        <v>6358</v>
      </c>
      <c r="K912" s="3066" t="s">
        <v>3560</v>
      </c>
      <c r="L912" s="3066" t="s">
        <v>6359</v>
      </c>
      <c r="M912" s="3066" t="s">
        <v>6364</v>
      </c>
      <c r="N912" s="3066">
        <v>33</v>
      </c>
      <c r="O912" s="3066" t="s">
        <v>6304</v>
      </c>
      <c r="P912" s="3066" t="s">
        <v>3566</v>
      </c>
      <c r="Q912" s="3066">
        <v>1</v>
      </c>
      <c r="R912" s="3066">
        <v>0</v>
      </c>
      <c r="S912" s="3066" t="s">
        <v>3577</v>
      </c>
      <c r="T912" s="3066">
        <v>20</v>
      </c>
      <c r="U912" s="3066">
        <v>660</v>
      </c>
      <c r="V912" s="3066" t="s">
        <v>3560</v>
      </c>
      <c r="W912" s="3066" t="s">
        <v>3568</v>
      </c>
      <c r="X912" s="3066">
        <v>2.2999999999999998</v>
      </c>
      <c r="Y912" s="3066">
        <v>912</v>
      </c>
      <c r="Z912" s="3066" t="s">
        <v>3568</v>
      </c>
      <c r="AA912" s="3066" t="s">
        <v>3560</v>
      </c>
      <c r="AB912" s="3066" t="s">
        <v>4483</v>
      </c>
      <c r="AC912" s="3066" t="s">
        <v>4483</v>
      </c>
      <c r="AD912" s="3066" t="s">
        <v>4483</v>
      </c>
      <c r="AE912" s="3066" t="s">
        <v>3560</v>
      </c>
      <c r="AF912" s="3067">
        <v>660</v>
      </c>
      <c r="AG912" s="3066">
        <v>660</v>
      </c>
      <c r="AH912" s="3066">
        <v>76</v>
      </c>
      <c r="AI912" s="3066">
        <v>76</v>
      </c>
      <c r="AJ912" s="3066">
        <v>184.88</v>
      </c>
      <c r="AK912" s="3066">
        <v>184.88</v>
      </c>
      <c r="AL912" s="3066">
        <v>920.88</v>
      </c>
      <c r="AM912" s="3066">
        <v>920.88</v>
      </c>
      <c r="AN912" s="3066" t="s">
        <v>3560</v>
      </c>
      <c r="AP912" s="3068">
        <f t="shared" si="14"/>
        <v>20</v>
      </c>
    </row>
    <row r="913" spans="2:42" ht="27" customHeight="1">
      <c r="B913" s="3066">
        <v>921</v>
      </c>
      <c r="C913" s="3066" t="s">
        <v>6355</v>
      </c>
      <c r="D913" s="3066" t="s">
        <v>4003</v>
      </c>
      <c r="E913" s="3066" t="s">
        <v>6365</v>
      </c>
      <c r="F913" s="3066" t="s">
        <v>3917</v>
      </c>
      <c r="G913" s="3066" t="s">
        <v>1373</v>
      </c>
      <c r="H913" s="3066" t="s">
        <v>3560</v>
      </c>
      <c r="I913" s="3066" t="s">
        <v>6357</v>
      </c>
      <c r="J913" s="3066" t="s">
        <v>6358</v>
      </c>
      <c r="K913" s="3066" t="s">
        <v>3560</v>
      </c>
      <c r="L913" s="3066" t="s">
        <v>6359</v>
      </c>
      <c r="M913" s="3066" t="s">
        <v>6366</v>
      </c>
      <c r="N913" s="3066">
        <v>33</v>
      </c>
      <c r="O913" s="3066" t="s">
        <v>6304</v>
      </c>
      <c r="P913" s="3066" t="s">
        <v>3566</v>
      </c>
      <c r="Q913" s="3066">
        <v>1</v>
      </c>
      <c r="R913" s="3066">
        <v>0</v>
      </c>
      <c r="S913" s="3066" t="s">
        <v>3577</v>
      </c>
      <c r="T913" s="3066">
        <v>20</v>
      </c>
      <c r="U913" s="3066">
        <v>660</v>
      </c>
      <c r="V913" s="3066" t="s">
        <v>3560</v>
      </c>
      <c r="W913" s="3066" t="s">
        <v>3568</v>
      </c>
      <c r="X913" s="3066">
        <v>2.2999999999999998</v>
      </c>
      <c r="Y913" s="3066">
        <v>912</v>
      </c>
      <c r="Z913" s="3066" t="s">
        <v>3568</v>
      </c>
      <c r="AA913" s="3066" t="s">
        <v>3560</v>
      </c>
      <c r="AB913" s="3066" t="s">
        <v>4483</v>
      </c>
      <c r="AC913" s="3066" t="s">
        <v>4483</v>
      </c>
      <c r="AD913" s="3066" t="s">
        <v>4483</v>
      </c>
      <c r="AE913" s="3066" t="s">
        <v>3560</v>
      </c>
      <c r="AF913" s="3067">
        <v>660</v>
      </c>
      <c r="AG913" s="3066">
        <v>660</v>
      </c>
      <c r="AH913" s="3066">
        <v>76</v>
      </c>
      <c r="AI913" s="3066">
        <v>76</v>
      </c>
      <c r="AJ913" s="3066">
        <v>22.44</v>
      </c>
      <c r="AK913" s="3066">
        <v>22.44</v>
      </c>
      <c r="AL913" s="3066">
        <v>758.44</v>
      </c>
      <c r="AM913" s="3066">
        <v>758.44</v>
      </c>
      <c r="AN913" s="3066" t="s">
        <v>3560</v>
      </c>
      <c r="AP913" s="3068">
        <f t="shared" si="14"/>
        <v>20</v>
      </c>
    </row>
    <row r="914" spans="2:42" ht="27" customHeight="1">
      <c r="B914" s="3066">
        <v>922</v>
      </c>
      <c r="C914" s="3066" t="s">
        <v>6355</v>
      </c>
      <c r="D914" s="3066" t="s">
        <v>4019</v>
      </c>
      <c r="E914" s="3066" t="s">
        <v>6367</v>
      </c>
      <c r="F914" s="3066" t="s">
        <v>3917</v>
      </c>
      <c r="G914" s="3066" t="s">
        <v>3560</v>
      </c>
      <c r="H914" s="3066" t="s">
        <v>3560</v>
      </c>
      <c r="I914" s="3066" t="s">
        <v>3560</v>
      </c>
      <c r="J914" s="3066" t="s">
        <v>3560</v>
      </c>
      <c r="K914" s="3066" t="s">
        <v>3560</v>
      </c>
      <c r="L914" s="3066" t="s">
        <v>3560</v>
      </c>
      <c r="M914" s="3066" t="s">
        <v>6368</v>
      </c>
      <c r="N914" s="3066">
        <v>33</v>
      </c>
      <c r="O914" s="3066" t="s">
        <v>3560</v>
      </c>
      <c r="P914" s="3066" t="s">
        <v>3560</v>
      </c>
      <c r="Q914" s="3066">
        <v>0</v>
      </c>
      <c r="R914" s="3066">
        <v>0</v>
      </c>
      <c r="S914" s="3066" t="s">
        <v>3577</v>
      </c>
      <c r="T914" s="3066">
        <v>0</v>
      </c>
      <c r="U914" s="3066">
        <v>0</v>
      </c>
      <c r="V914" s="3066" t="s">
        <v>3560</v>
      </c>
      <c r="W914" s="3066" t="s">
        <v>3568</v>
      </c>
      <c r="X914" s="3066">
        <v>0</v>
      </c>
      <c r="Y914" s="3066">
        <v>0</v>
      </c>
      <c r="Z914" s="3066" t="s">
        <v>3568</v>
      </c>
      <c r="AA914" s="3066" t="s">
        <v>3560</v>
      </c>
      <c r="AB914" s="3066" t="s">
        <v>3560</v>
      </c>
      <c r="AC914" s="3066" t="s">
        <v>3560</v>
      </c>
      <c r="AD914" s="3066" t="s">
        <v>3560</v>
      </c>
      <c r="AE914" s="3066" t="s">
        <v>3560</v>
      </c>
      <c r="AF914" s="3067">
        <v>0</v>
      </c>
      <c r="AG914" s="3066">
        <v>0</v>
      </c>
      <c r="AH914" s="3066">
        <v>0</v>
      </c>
      <c r="AI914" s="3066">
        <v>0</v>
      </c>
      <c r="AJ914" s="3066">
        <v>0</v>
      </c>
      <c r="AK914" s="3066">
        <v>0</v>
      </c>
      <c r="AL914" s="3066">
        <v>0</v>
      </c>
      <c r="AM914" s="3066">
        <v>0</v>
      </c>
      <c r="AN914" s="3066" t="s">
        <v>3560</v>
      </c>
      <c r="AP914" s="3068">
        <f t="shared" si="14"/>
        <v>0</v>
      </c>
    </row>
    <row r="915" spans="2:42" ht="27" customHeight="1">
      <c r="B915" s="3066">
        <v>923</v>
      </c>
      <c r="C915" s="3066" t="s">
        <v>6355</v>
      </c>
      <c r="D915" s="3066" t="s">
        <v>4019</v>
      </c>
      <c r="E915" s="3066" t="s">
        <v>6369</v>
      </c>
      <c r="F915" s="3066" t="s">
        <v>3917</v>
      </c>
      <c r="G915" s="3066" t="s">
        <v>1373</v>
      </c>
      <c r="H915" s="3066" t="s">
        <v>3560</v>
      </c>
      <c r="I915" s="3066" t="s">
        <v>6370</v>
      </c>
      <c r="J915" s="3066" t="s">
        <v>3560</v>
      </c>
      <c r="K915" s="3066" t="s">
        <v>3560</v>
      </c>
      <c r="L915" s="3066" t="s">
        <v>6371</v>
      </c>
      <c r="M915" s="3066" t="s">
        <v>6372</v>
      </c>
      <c r="N915" s="3066">
        <v>33</v>
      </c>
      <c r="O915" s="3066" t="s">
        <v>3676</v>
      </c>
      <c r="P915" s="3066" t="s">
        <v>3566</v>
      </c>
      <c r="Q915" s="3066">
        <v>1</v>
      </c>
      <c r="R915" s="3066">
        <v>3350</v>
      </c>
      <c r="S915" s="3066" t="s">
        <v>3567</v>
      </c>
      <c r="T915" s="3066">
        <v>20</v>
      </c>
      <c r="U915" s="3066">
        <v>660</v>
      </c>
      <c r="V915" s="3066" t="s">
        <v>3560</v>
      </c>
      <c r="W915" s="3066" t="s">
        <v>3568</v>
      </c>
      <c r="X915" s="3066">
        <v>2.2999999999999998</v>
      </c>
      <c r="Y915" s="3066">
        <v>912</v>
      </c>
      <c r="Z915" s="3066" t="s">
        <v>3568</v>
      </c>
      <c r="AA915" s="3066" t="s">
        <v>3560</v>
      </c>
      <c r="AB915" s="3066" t="s">
        <v>3677</v>
      </c>
      <c r="AC915" s="3066" t="s">
        <v>3677</v>
      </c>
      <c r="AD915" s="3066" t="s">
        <v>3677</v>
      </c>
      <c r="AE915" s="3066" t="s">
        <v>3560</v>
      </c>
      <c r="AF915" s="3067">
        <v>660</v>
      </c>
      <c r="AG915" s="3066">
        <v>660</v>
      </c>
      <c r="AH915" s="3066">
        <v>76</v>
      </c>
      <c r="AI915" s="3066">
        <v>76</v>
      </c>
      <c r="AJ915" s="3066">
        <v>29.58</v>
      </c>
      <c r="AK915" s="3066">
        <v>29.58</v>
      </c>
      <c r="AL915" s="3066">
        <v>765.58</v>
      </c>
      <c r="AM915" s="3066">
        <v>765.58</v>
      </c>
      <c r="AN915" s="3066" t="s">
        <v>3560</v>
      </c>
      <c r="AP915" s="3068">
        <f t="shared" si="14"/>
        <v>20</v>
      </c>
    </row>
    <row r="916" spans="2:42" ht="27" customHeight="1">
      <c r="B916" s="3066">
        <v>924</v>
      </c>
      <c r="C916" s="3066" t="s">
        <v>6355</v>
      </c>
      <c r="D916" s="3066" t="s">
        <v>4019</v>
      </c>
      <c r="E916" s="3066" t="s">
        <v>6373</v>
      </c>
      <c r="F916" s="3066" t="s">
        <v>3917</v>
      </c>
      <c r="G916" s="3066" t="s">
        <v>1373</v>
      </c>
      <c r="H916" s="3066" t="s">
        <v>3560</v>
      </c>
      <c r="I916" s="3066" t="s">
        <v>5329</v>
      </c>
      <c r="J916" s="3066" t="s">
        <v>6374</v>
      </c>
      <c r="K916" s="3066" t="s">
        <v>3560</v>
      </c>
      <c r="L916" s="3066" t="s">
        <v>6375</v>
      </c>
      <c r="M916" s="3066" t="s">
        <v>6376</v>
      </c>
      <c r="N916" s="3066">
        <v>33</v>
      </c>
      <c r="O916" s="3066" t="s">
        <v>3619</v>
      </c>
      <c r="P916" s="3066" t="s">
        <v>3566</v>
      </c>
      <c r="Q916" s="3066">
        <v>1</v>
      </c>
      <c r="R916" s="3066">
        <v>2178</v>
      </c>
      <c r="S916" s="3066" t="s">
        <v>3567</v>
      </c>
      <c r="T916" s="3066">
        <v>20</v>
      </c>
      <c r="U916" s="3066">
        <v>660</v>
      </c>
      <c r="V916" s="3066" t="s">
        <v>3560</v>
      </c>
      <c r="W916" s="3066" t="s">
        <v>3568</v>
      </c>
      <c r="X916" s="3066">
        <v>2</v>
      </c>
      <c r="Y916" s="3066">
        <v>792</v>
      </c>
      <c r="Z916" s="3066" t="s">
        <v>3568</v>
      </c>
      <c r="AA916" s="3066" t="s">
        <v>3560</v>
      </c>
      <c r="AB916" s="3066" t="s">
        <v>3584</v>
      </c>
      <c r="AC916" s="3066" t="s">
        <v>3584</v>
      </c>
      <c r="AD916" s="3066" t="s">
        <v>3584</v>
      </c>
      <c r="AE916" s="3066" t="s">
        <v>3560</v>
      </c>
      <c r="AF916" s="3067">
        <v>660</v>
      </c>
      <c r="AG916" s="3066">
        <v>660</v>
      </c>
      <c r="AH916" s="3066">
        <v>66</v>
      </c>
      <c r="AI916" s="3066">
        <v>66</v>
      </c>
      <c r="AJ916" s="3066">
        <v>126.89</v>
      </c>
      <c r="AK916" s="3066">
        <v>126.89</v>
      </c>
      <c r="AL916" s="3066">
        <v>852.89</v>
      </c>
      <c r="AM916" s="3066">
        <v>852.89</v>
      </c>
      <c r="AN916" s="3066" t="s">
        <v>3560</v>
      </c>
      <c r="AP916" s="3068">
        <f t="shared" si="14"/>
        <v>20</v>
      </c>
    </row>
    <row r="917" spans="2:42" ht="27" customHeight="1">
      <c r="B917" s="3066">
        <v>925</v>
      </c>
      <c r="C917" s="3066" t="s">
        <v>6355</v>
      </c>
      <c r="D917" s="3066" t="s">
        <v>4019</v>
      </c>
      <c r="E917" s="3066" t="s">
        <v>6377</v>
      </c>
      <c r="F917" s="3066" t="s">
        <v>3917</v>
      </c>
      <c r="G917" s="3066" t="s">
        <v>1373</v>
      </c>
      <c r="H917" s="3066" t="s">
        <v>3560</v>
      </c>
      <c r="I917" s="3066" t="s">
        <v>6378</v>
      </c>
      <c r="J917" s="3066" t="s">
        <v>3560</v>
      </c>
      <c r="K917" s="3066" t="s">
        <v>3560</v>
      </c>
      <c r="L917" s="3066" t="s">
        <v>6379</v>
      </c>
      <c r="M917" s="3066" t="s">
        <v>6380</v>
      </c>
      <c r="N917" s="3066">
        <v>33</v>
      </c>
      <c r="O917" s="3066" t="s">
        <v>4008</v>
      </c>
      <c r="P917" s="3066" t="s">
        <v>3566</v>
      </c>
      <c r="Q917" s="3066">
        <v>1</v>
      </c>
      <c r="R917" s="3066">
        <v>3680</v>
      </c>
      <c r="S917" s="3066" t="s">
        <v>3567</v>
      </c>
      <c r="T917" s="3066">
        <v>20</v>
      </c>
      <c r="U917" s="3066">
        <v>660</v>
      </c>
      <c r="V917" s="3066" t="s">
        <v>3560</v>
      </c>
      <c r="W917" s="3066" t="s">
        <v>3568</v>
      </c>
      <c r="X917" s="3066">
        <v>2.2999999999999998</v>
      </c>
      <c r="Y917" s="3066">
        <v>912</v>
      </c>
      <c r="Z917" s="3066" t="s">
        <v>3568</v>
      </c>
      <c r="AA917" s="3066" t="s">
        <v>3560</v>
      </c>
      <c r="AB917" s="3066" t="s">
        <v>3692</v>
      </c>
      <c r="AC917" s="3066" t="s">
        <v>3692</v>
      </c>
      <c r="AD917" s="3066" t="s">
        <v>3692</v>
      </c>
      <c r="AE917" s="3066" t="s">
        <v>3560</v>
      </c>
      <c r="AF917" s="3067">
        <v>0</v>
      </c>
      <c r="AG917" s="3066">
        <v>0</v>
      </c>
      <c r="AH917" s="3066">
        <v>0</v>
      </c>
      <c r="AI917" s="3066">
        <v>0</v>
      </c>
      <c r="AJ917" s="3066">
        <v>2.38</v>
      </c>
      <c r="AK917" s="3066">
        <v>2.38</v>
      </c>
      <c r="AL917" s="3066">
        <v>2.38</v>
      </c>
      <c r="AM917" s="3066">
        <v>2.38</v>
      </c>
      <c r="AN917" s="3066" t="s">
        <v>3560</v>
      </c>
      <c r="AP917" s="3068">
        <f t="shared" si="14"/>
        <v>0</v>
      </c>
    </row>
    <row r="918" spans="2:42" ht="27" customHeight="1">
      <c r="B918" s="3066">
        <v>926</v>
      </c>
      <c r="C918" s="3066" t="s">
        <v>6355</v>
      </c>
      <c r="D918" s="3066" t="s">
        <v>4019</v>
      </c>
      <c r="E918" s="3066" t="s">
        <v>6381</v>
      </c>
      <c r="F918" s="3066" t="s">
        <v>3917</v>
      </c>
      <c r="G918" s="3066" t="s">
        <v>1373</v>
      </c>
      <c r="H918" s="3066" t="s">
        <v>3560</v>
      </c>
      <c r="I918" s="3066" t="s">
        <v>6382</v>
      </c>
      <c r="J918" s="3066" t="s">
        <v>3560</v>
      </c>
      <c r="K918" s="3066" t="s">
        <v>3560</v>
      </c>
      <c r="L918" s="3066" t="s">
        <v>6383</v>
      </c>
      <c r="M918" s="3066" t="s">
        <v>6384</v>
      </c>
      <c r="N918" s="3066">
        <v>33</v>
      </c>
      <c r="O918" s="3066" t="s">
        <v>5211</v>
      </c>
      <c r="P918" s="3066" t="s">
        <v>3566</v>
      </c>
      <c r="Q918" s="3066">
        <v>1</v>
      </c>
      <c r="R918" s="3066">
        <v>2307</v>
      </c>
      <c r="S918" s="3066" t="s">
        <v>3567</v>
      </c>
      <c r="T918" s="3066">
        <v>21</v>
      </c>
      <c r="U918" s="3066">
        <v>693</v>
      </c>
      <c r="V918" s="3066" t="s">
        <v>3560</v>
      </c>
      <c r="W918" s="3066" t="s">
        <v>3568</v>
      </c>
      <c r="X918" s="3066">
        <v>2.2999999999999998</v>
      </c>
      <c r="Y918" s="3066">
        <v>912</v>
      </c>
      <c r="Z918" s="3066" t="s">
        <v>3568</v>
      </c>
      <c r="AA918" s="3066" t="s">
        <v>3560</v>
      </c>
      <c r="AB918" s="3066" t="s">
        <v>3943</v>
      </c>
      <c r="AC918" s="3066" t="s">
        <v>3943</v>
      </c>
      <c r="AD918" s="3066" t="s">
        <v>3943</v>
      </c>
      <c r="AE918" s="3066" t="s">
        <v>3560</v>
      </c>
      <c r="AF918" s="3067">
        <v>660</v>
      </c>
      <c r="AG918" s="3066">
        <v>660</v>
      </c>
      <c r="AH918" s="3066">
        <v>76</v>
      </c>
      <c r="AI918" s="3066">
        <v>76</v>
      </c>
      <c r="AJ918" s="3066">
        <v>78.19</v>
      </c>
      <c r="AK918" s="3066">
        <v>78.19</v>
      </c>
      <c r="AL918" s="3066">
        <v>814.19</v>
      </c>
      <c r="AM918" s="3066">
        <v>814.19</v>
      </c>
      <c r="AN918" s="3066" t="s">
        <v>3560</v>
      </c>
      <c r="AP918" s="3068">
        <f t="shared" si="14"/>
        <v>20</v>
      </c>
    </row>
    <row r="919" spans="2:42" ht="27" customHeight="1">
      <c r="B919" s="3066">
        <v>927</v>
      </c>
      <c r="C919" s="3066" t="s">
        <v>6355</v>
      </c>
      <c r="D919" s="3066" t="s">
        <v>4019</v>
      </c>
      <c r="E919" s="3066" t="s">
        <v>6385</v>
      </c>
      <c r="F919" s="3066" t="s">
        <v>3917</v>
      </c>
      <c r="G919" s="3066" t="s">
        <v>1373</v>
      </c>
      <c r="H919" s="3066" t="s">
        <v>3560</v>
      </c>
      <c r="I919" s="3066" t="s">
        <v>6386</v>
      </c>
      <c r="J919" s="3066" t="s">
        <v>3560</v>
      </c>
      <c r="K919" s="3066" t="s">
        <v>3560</v>
      </c>
      <c r="L919" s="3066" t="s">
        <v>6387</v>
      </c>
      <c r="M919" s="3066" t="s">
        <v>6388</v>
      </c>
      <c r="N919" s="3066">
        <v>33</v>
      </c>
      <c r="O919" s="3066" t="s">
        <v>3676</v>
      </c>
      <c r="P919" s="3066" t="s">
        <v>3566</v>
      </c>
      <c r="Q919" s="3066">
        <v>1</v>
      </c>
      <c r="R919" s="3066">
        <v>3350</v>
      </c>
      <c r="S919" s="3066" t="s">
        <v>3567</v>
      </c>
      <c r="T919" s="3066">
        <v>20</v>
      </c>
      <c r="U919" s="3066">
        <v>660</v>
      </c>
      <c r="V919" s="3066" t="s">
        <v>3560</v>
      </c>
      <c r="W919" s="3066" t="s">
        <v>3568</v>
      </c>
      <c r="X919" s="3066">
        <v>2.2999999999999998</v>
      </c>
      <c r="Y919" s="3066">
        <v>912</v>
      </c>
      <c r="Z919" s="3066" t="s">
        <v>3568</v>
      </c>
      <c r="AA919" s="3066" t="s">
        <v>3560</v>
      </c>
      <c r="AB919" s="3066" t="s">
        <v>3677</v>
      </c>
      <c r="AC919" s="3066" t="s">
        <v>3677</v>
      </c>
      <c r="AD919" s="3066" t="s">
        <v>3677</v>
      </c>
      <c r="AE919" s="3066" t="s">
        <v>3560</v>
      </c>
      <c r="AF919" s="3067">
        <v>660</v>
      </c>
      <c r="AG919" s="3066">
        <v>660</v>
      </c>
      <c r="AH919" s="3066">
        <v>76</v>
      </c>
      <c r="AI919" s="3066">
        <v>76</v>
      </c>
      <c r="AJ919" s="3066">
        <v>35.450000000000003</v>
      </c>
      <c r="AK919" s="3066">
        <v>35.450000000000003</v>
      </c>
      <c r="AL919" s="3066">
        <v>771.45</v>
      </c>
      <c r="AM919" s="3066">
        <v>771.45</v>
      </c>
      <c r="AN919" s="3066" t="s">
        <v>3560</v>
      </c>
      <c r="AP919" s="3068">
        <f t="shared" si="14"/>
        <v>20</v>
      </c>
    </row>
    <row r="920" spans="2:42" ht="27" customHeight="1">
      <c r="B920" s="3066">
        <v>928</v>
      </c>
      <c r="C920" s="3066" t="s">
        <v>6355</v>
      </c>
      <c r="D920" s="3066" t="s">
        <v>5423</v>
      </c>
      <c r="E920" s="3066" t="s">
        <v>6389</v>
      </c>
      <c r="F920" s="3066" t="s">
        <v>3917</v>
      </c>
      <c r="G920" s="3066" t="s">
        <v>1373</v>
      </c>
      <c r="H920" s="3066" t="s">
        <v>3560</v>
      </c>
      <c r="I920" s="3066" t="s">
        <v>3722</v>
      </c>
      <c r="J920" s="3066" t="s">
        <v>3723</v>
      </c>
      <c r="K920" s="3066" t="s">
        <v>3560</v>
      </c>
      <c r="L920" s="3066" t="s">
        <v>3724</v>
      </c>
      <c r="M920" s="3066" t="s">
        <v>6390</v>
      </c>
      <c r="N920" s="3066">
        <v>332.7</v>
      </c>
      <c r="O920" s="3066" t="s">
        <v>3619</v>
      </c>
      <c r="P920" s="3066" t="s">
        <v>3566</v>
      </c>
      <c r="Q920" s="3066">
        <v>1</v>
      </c>
      <c r="R920" s="3066">
        <v>10463</v>
      </c>
      <c r="S920" s="3066" t="s">
        <v>3567</v>
      </c>
      <c r="T920" s="3066">
        <v>20</v>
      </c>
      <c r="U920" s="3066">
        <v>6654</v>
      </c>
      <c r="V920" s="3066" t="s">
        <v>3560</v>
      </c>
      <c r="W920" s="3066" t="s">
        <v>3568</v>
      </c>
      <c r="X920" s="3066">
        <v>2</v>
      </c>
      <c r="Y920" s="3066">
        <v>7984.8</v>
      </c>
      <c r="Z920" s="3066" t="s">
        <v>3568</v>
      </c>
      <c r="AA920" s="3066" t="s">
        <v>3560</v>
      </c>
      <c r="AB920" s="3066" t="s">
        <v>3584</v>
      </c>
      <c r="AC920" s="3066" t="s">
        <v>3584</v>
      </c>
      <c r="AD920" s="3066" t="s">
        <v>3584</v>
      </c>
      <c r="AE920" s="3066" t="s">
        <v>3560</v>
      </c>
      <c r="AF920" s="3067">
        <v>6654</v>
      </c>
      <c r="AG920" s="3066">
        <v>6654</v>
      </c>
      <c r="AH920" s="3066">
        <v>665.4</v>
      </c>
      <c r="AI920" s="3066">
        <v>665.4</v>
      </c>
      <c r="AJ920" s="3066">
        <v>1456.06</v>
      </c>
      <c r="AK920" s="3066">
        <v>1456.06</v>
      </c>
      <c r="AL920" s="3066">
        <v>8775.4599999999991</v>
      </c>
      <c r="AM920" s="3066">
        <v>8775.4599999999991</v>
      </c>
      <c r="AN920" s="3066" t="s">
        <v>3560</v>
      </c>
      <c r="AP920" s="3068">
        <f t="shared" si="14"/>
        <v>20</v>
      </c>
    </row>
    <row r="921" spans="2:42" ht="27" customHeight="1">
      <c r="B921" s="3066">
        <v>929</v>
      </c>
      <c r="C921" s="3066" t="s">
        <v>6355</v>
      </c>
      <c r="D921" s="3066" t="s">
        <v>5423</v>
      </c>
      <c r="E921" s="3066" t="s">
        <v>6391</v>
      </c>
      <c r="F921" s="3066" t="s">
        <v>3917</v>
      </c>
      <c r="G921" s="3066" t="s">
        <v>1373</v>
      </c>
      <c r="H921" s="3066" t="s">
        <v>3560</v>
      </c>
      <c r="I921" s="3066" t="s">
        <v>3722</v>
      </c>
      <c r="J921" s="3066" t="s">
        <v>3723</v>
      </c>
      <c r="K921" s="3066" t="s">
        <v>3560</v>
      </c>
      <c r="L921" s="3066" t="s">
        <v>3724</v>
      </c>
      <c r="M921" s="3066" t="s">
        <v>6392</v>
      </c>
      <c r="N921" s="3066">
        <v>332.7</v>
      </c>
      <c r="O921" s="3066" t="s">
        <v>3619</v>
      </c>
      <c r="P921" s="3066" t="s">
        <v>3566</v>
      </c>
      <c r="Q921" s="3066">
        <v>1</v>
      </c>
      <c r="R921" s="3066">
        <v>0</v>
      </c>
      <c r="S921" s="3066" t="s">
        <v>3577</v>
      </c>
      <c r="T921" s="3066">
        <v>20</v>
      </c>
      <c r="U921" s="3066">
        <v>6654</v>
      </c>
      <c r="V921" s="3066" t="s">
        <v>3560</v>
      </c>
      <c r="W921" s="3066" t="s">
        <v>3568</v>
      </c>
      <c r="X921" s="3066">
        <v>2</v>
      </c>
      <c r="Y921" s="3066">
        <v>7984.8</v>
      </c>
      <c r="Z921" s="3066" t="s">
        <v>3568</v>
      </c>
      <c r="AA921" s="3066" t="s">
        <v>3560</v>
      </c>
      <c r="AB921" s="3066" t="s">
        <v>3584</v>
      </c>
      <c r="AC921" s="3066" t="s">
        <v>3584</v>
      </c>
      <c r="AD921" s="3066" t="s">
        <v>3584</v>
      </c>
      <c r="AE921" s="3066" t="s">
        <v>3560</v>
      </c>
      <c r="AF921" s="3067">
        <v>6654</v>
      </c>
      <c r="AG921" s="3066">
        <v>6654</v>
      </c>
      <c r="AH921" s="3066">
        <v>665.4</v>
      </c>
      <c r="AI921" s="3066">
        <v>665.4</v>
      </c>
      <c r="AJ921" s="3066">
        <v>1609.59</v>
      </c>
      <c r="AK921" s="3066">
        <v>1609.59</v>
      </c>
      <c r="AL921" s="3066">
        <v>8928.99</v>
      </c>
      <c r="AM921" s="3066">
        <v>8928.99</v>
      </c>
      <c r="AN921" s="3066" t="s">
        <v>3560</v>
      </c>
      <c r="AP921" s="3068">
        <f t="shared" si="14"/>
        <v>20</v>
      </c>
    </row>
    <row r="922" spans="2:42" ht="27" customHeight="1">
      <c r="B922" s="3066">
        <v>930</v>
      </c>
      <c r="C922" s="3066" t="s">
        <v>6355</v>
      </c>
      <c r="D922" s="3066" t="s">
        <v>5423</v>
      </c>
      <c r="E922" s="3066" t="s">
        <v>6393</v>
      </c>
      <c r="F922" s="3066" t="s">
        <v>3917</v>
      </c>
      <c r="G922" s="3066" t="s">
        <v>1373</v>
      </c>
      <c r="H922" s="3066" t="s">
        <v>3560</v>
      </c>
      <c r="I922" s="3066" t="s">
        <v>4376</v>
      </c>
      <c r="J922" s="3066" t="s">
        <v>4376</v>
      </c>
      <c r="K922" s="3066" t="s">
        <v>3560</v>
      </c>
      <c r="L922" s="3066" t="s">
        <v>4377</v>
      </c>
      <c r="M922" s="3066" t="s">
        <v>6394</v>
      </c>
      <c r="N922" s="3066">
        <v>332.7</v>
      </c>
      <c r="O922" s="3066" t="s">
        <v>3619</v>
      </c>
      <c r="P922" s="3066" t="s">
        <v>3566</v>
      </c>
      <c r="Q922" s="3066">
        <v>1</v>
      </c>
      <c r="R922" s="3066">
        <v>6487</v>
      </c>
      <c r="S922" s="3066" t="s">
        <v>3567</v>
      </c>
      <c r="T922" s="3066">
        <v>20</v>
      </c>
      <c r="U922" s="3066">
        <v>6654</v>
      </c>
      <c r="V922" s="3066" t="s">
        <v>3560</v>
      </c>
      <c r="W922" s="3066" t="s">
        <v>3568</v>
      </c>
      <c r="X922" s="3066">
        <v>2.2999999999999998</v>
      </c>
      <c r="Y922" s="3066">
        <v>9184.7999999999993</v>
      </c>
      <c r="Z922" s="3066" t="s">
        <v>3568</v>
      </c>
      <c r="AA922" s="3066" t="s">
        <v>3560</v>
      </c>
      <c r="AB922" s="3066" t="s">
        <v>3584</v>
      </c>
      <c r="AC922" s="3066" t="s">
        <v>3584</v>
      </c>
      <c r="AD922" s="3066" t="s">
        <v>3584</v>
      </c>
      <c r="AE922" s="3066" t="s">
        <v>3560</v>
      </c>
      <c r="AF922" s="3067">
        <v>6654</v>
      </c>
      <c r="AG922" s="3066">
        <v>6654</v>
      </c>
      <c r="AH922" s="3066">
        <v>765.4</v>
      </c>
      <c r="AI922" s="3066">
        <v>765.4</v>
      </c>
      <c r="AJ922" s="3066">
        <v>777.2</v>
      </c>
      <c r="AK922" s="3066">
        <v>777.2</v>
      </c>
      <c r="AL922" s="3066">
        <v>8196.6</v>
      </c>
      <c r="AM922" s="3066">
        <v>8196.6</v>
      </c>
      <c r="AN922" s="3066" t="s">
        <v>3560</v>
      </c>
      <c r="AP922" s="3068">
        <f t="shared" si="14"/>
        <v>20</v>
      </c>
    </row>
    <row r="923" spans="2:42" ht="27" customHeight="1">
      <c r="B923" s="3066">
        <v>931</v>
      </c>
      <c r="C923" s="3066" t="s">
        <v>6355</v>
      </c>
      <c r="D923" s="3066" t="s">
        <v>3972</v>
      </c>
      <c r="E923" s="3066" t="s">
        <v>6395</v>
      </c>
      <c r="F923" s="3066" t="s">
        <v>3917</v>
      </c>
      <c r="G923" s="3066" t="s">
        <v>1373</v>
      </c>
      <c r="H923" s="3066" t="s">
        <v>3560</v>
      </c>
      <c r="I923" s="3066" t="s">
        <v>6396</v>
      </c>
      <c r="J923" s="3066" t="s">
        <v>3560</v>
      </c>
      <c r="K923" s="3066" t="s">
        <v>3560</v>
      </c>
      <c r="L923" s="3066" t="s">
        <v>6397</v>
      </c>
      <c r="M923" s="3066" t="s">
        <v>6398</v>
      </c>
      <c r="N923" s="3066">
        <v>35.700000000000003</v>
      </c>
      <c r="O923" s="3066" t="s">
        <v>3950</v>
      </c>
      <c r="P923" s="3066" t="s">
        <v>3566</v>
      </c>
      <c r="Q923" s="3066">
        <v>1</v>
      </c>
      <c r="R923" s="3066">
        <v>3977</v>
      </c>
      <c r="S923" s="3066" t="s">
        <v>3567</v>
      </c>
      <c r="T923" s="3066">
        <v>21</v>
      </c>
      <c r="U923" s="3066">
        <v>749.7</v>
      </c>
      <c r="V923" s="3066" t="s">
        <v>3560</v>
      </c>
      <c r="W923" s="3066" t="s">
        <v>3568</v>
      </c>
      <c r="X923" s="3066">
        <v>2.2799999999999998</v>
      </c>
      <c r="Y923" s="3066">
        <v>976.8</v>
      </c>
      <c r="Z923" s="3066" t="s">
        <v>3568</v>
      </c>
      <c r="AA923" s="3066" t="s">
        <v>3560</v>
      </c>
      <c r="AB923" s="3066" t="s">
        <v>3951</v>
      </c>
      <c r="AC923" s="3066" t="s">
        <v>3951</v>
      </c>
      <c r="AD923" s="3066" t="s">
        <v>3951</v>
      </c>
      <c r="AE923" s="3066" t="s">
        <v>3560</v>
      </c>
      <c r="AF923" s="3067">
        <v>749.7</v>
      </c>
      <c r="AG923" s="3066">
        <v>749.7</v>
      </c>
      <c r="AH923" s="3066">
        <v>81.400000000000006</v>
      </c>
      <c r="AI923" s="3066">
        <v>81.400000000000006</v>
      </c>
      <c r="AJ923" s="3066">
        <v>91.19</v>
      </c>
      <c r="AK923" s="3066">
        <v>91.19</v>
      </c>
      <c r="AL923" s="3066">
        <v>922.29</v>
      </c>
      <c r="AM923" s="3066">
        <v>922.29</v>
      </c>
      <c r="AN923" s="3066" t="s">
        <v>3560</v>
      </c>
      <c r="AP923" s="3068">
        <f t="shared" si="14"/>
        <v>21</v>
      </c>
    </row>
    <row r="924" spans="2:42" ht="27" customHeight="1">
      <c r="B924" s="3066">
        <v>932</v>
      </c>
      <c r="C924" s="3066" t="s">
        <v>6355</v>
      </c>
      <c r="D924" s="3066" t="s">
        <v>3972</v>
      </c>
      <c r="E924" s="3066" t="s">
        <v>6399</v>
      </c>
      <c r="F924" s="3066" t="s">
        <v>3917</v>
      </c>
      <c r="G924" s="3066" t="s">
        <v>3560</v>
      </c>
      <c r="H924" s="3066" t="s">
        <v>3560</v>
      </c>
      <c r="I924" s="3066" t="s">
        <v>6400</v>
      </c>
      <c r="J924" s="3066" t="s">
        <v>6400</v>
      </c>
      <c r="K924" s="3066" t="s">
        <v>3560</v>
      </c>
      <c r="L924" s="3066" t="s">
        <v>6401</v>
      </c>
      <c r="M924" s="3066" t="s">
        <v>6402</v>
      </c>
      <c r="N924" s="3066">
        <v>33</v>
      </c>
      <c r="O924" s="3066" t="s">
        <v>3931</v>
      </c>
      <c r="P924" s="3066" t="s">
        <v>3566</v>
      </c>
      <c r="Q924" s="3066">
        <v>1</v>
      </c>
      <c r="R924" s="3066">
        <v>3680</v>
      </c>
      <c r="S924" s="3066" t="s">
        <v>3567</v>
      </c>
      <c r="T924" s="3066">
        <v>20</v>
      </c>
      <c r="U924" s="3066">
        <v>660</v>
      </c>
      <c r="V924" s="3066" t="s">
        <v>3560</v>
      </c>
      <c r="W924" s="3066" t="s">
        <v>3568</v>
      </c>
      <c r="X924" s="3066">
        <v>2.2999999999999998</v>
      </c>
      <c r="Y924" s="3066">
        <v>912</v>
      </c>
      <c r="Z924" s="3066" t="s">
        <v>3568</v>
      </c>
      <c r="AA924" s="3066" t="s">
        <v>3560</v>
      </c>
      <c r="AB924" s="3066" t="s">
        <v>3932</v>
      </c>
      <c r="AC924" s="3066" t="s">
        <v>3932</v>
      </c>
      <c r="AD924" s="3066" t="s">
        <v>3932</v>
      </c>
      <c r="AE924" s="3066" t="s">
        <v>3560</v>
      </c>
      <c r="AF924" s="3067">
        <v>660</v>
      </c>
      <c r="AG924" s="3066">
        <v>660</v>
      </c>
      <c r="AH924" s="3066">
        <v>76</v>
      </c>
      <c r="AI924" s="3066">
        <v>76</v>
      </c>
      <c r="AJ924" s="3066">
        <v>79.540000000000006</v>
      </c>
      <c r="AK924" s="3066">
        <v>79.540000000000006</v>
      </c>
      <c r="AL924" s="3066">
        <v>815.54</v>
      </c>
      <c r="AM924" s="3066">
        <v>815.54</v>
      </c>
      <c r="AN924" s="3066" t="s">
        <v>3560</v>
      </c>
      <c r="AP924" s="3068">
        <f t="shared" si="14"/>
        <v>20</v>
      </c>
    </row>
    <row r="925" spans="2:42" ht="27" customHeight="1">
      <c r="B925" s="3066">
        <v>933</v>
      </c>
      <c r="C925" s="3066" t="s">
        <v>6355</v>
      </c>
      <c r="D925" s="3066" t="s">
        <v>3972</v>
      </c>
      <c r="E925" s="3066" t="s">
        <v>6403</v>
      </c>
      <c r="F925" s="3066" t="s">
        <v>3917</v>
      </c>
      <c r="G925" s="3066" t="s">
        <v>1373</v>
      </c>
      <c r="H925" s="3066" t="s">
        <v>3560</v>
      </c>
      <c r="I925" s="3066" t="s">
        <v>6404</v>
      </c>
      <c r="J925" s="3066" t="s">
        <v>3560</v>
      </c>
      <c r="K925" s="3066" t="s">
        <v>3560</v>
      </c>
      <c r="L925" s="3066" t="s">
        <v>6405</v>
      </c>
      <c r="M925" s="3066" t="s">
        <v>6406</v>
      </c>
      <c r="N925" s="3066">
        <v>33</v>
      </c>
      <c r="O925" s="3066" t="s">
        <v>3931</v>
      </c>
      <c r="P925" s="3066" t="s">
        <v>3566</v>
      </c>
      <c r="Q925" s="3066">
        <v>1</v>
      </c>
      <c r="R925" s="3066">
        <v>3680</v>
      </c>
      <c r="S925" s="3066" t="s">
        <v>3567</v>
      </c>
      <c r="T925" s="3066">
        <v>20</v>
      </c>
      <c r="U925" s="3066">
        <v>660</v>
      </c>
      <c r="V925" s="3066" t="s">
        <v>3560</v>
      </c>
      <c r="W925" s="3066" t="s">
        <v>3568</v>
      </c>
      <c r="X925" s="3066">
        <v>2.2999999999999998</v>
      </c>
      <c r="Y925" s="3066">
        <v>912</v>
      </c>
      <c r="Z925" s="3066" t="s">
        <v>3568</v>
      </c>
      <c r="AA925" s="3066" t="s">
        <v>3560</v>
      </c>
      <c r="AB925" s="3066" t="s">
        <v>3932</v>
      </c>
      <c r="AC925" s="3066" t="s">
        <v>3932</v>
      </c>
      <c r="AD925" s="3066" t="s">
        <v>3932</v>
      </c>
      <c r="AE925" s="3066" t="s">
        <v>3560</v>
      </c>
      <c r="AF925" s="3067">
        <v>660</v>
      </c>
      <c r="AG925" s="3066">
        <v>660</v>
      </c>
      <c r="AH925" s="3066">
        <v>76</v>
      </c>
      <c r="AI925" s="3066">
        <v>76</v>
      </c>
      <c r="AJ925" s="3066">
        <v>36.03</v>
      </c>
      <c r="AK925" s="3066">
        <v>36.03</v>
      </c>
      <c r="AL925" s="3066">
        <v>772.03</v>
      </c>
      <c r="AM925" s="3066">
        <v>772.03</v>
      </c>
      <c r="AN925" s="3066" t="s">
        <v>3560</v>
      </c>
      <c r="AP925" s="3068">
        <f t="shared" si="14"/>
        <v>20</v>
      </c>
    </row>
    <row r="926" spans="2:42" ht="27" customHeight="1">
      <c r="B926" s="3066">
        <v>934</v>
      </c>
      <c r="C926" s="3066" t="s">
        <v>6355</v>
      </c>
      <c r="D926" s="3066" t="s">
        <v>3972</v>
      </c>
      <c r="E926" s="3066" t="s">
        <v>6407</v>
      </c>
      <c r="F926" s="3066" t="s">
        <v>3917</v>
      </c>
      <c r="G926" s="3066" t="s">
        <v>1373</v>
      </c>
      <c r="H926" s="3066" t="s">
        <v>3560</v>
      </c>
      <c r="I926" s="3066" t="s">
        <v>6408</v>
      </c>
      <c r="J926" s="3066" t="s">
        <v>3560</v>
      </c>
      <c r="K926" s="3066" t="s">
        <v>3560</v>
      </c>
      <c r="L926" s="3066" t="s">
        <v>6409</v>
      </c>
      <c r="M926" s="3066" t="s">
        <v>6410</v>
      </c>
      <c r="N926" s="3066">
        <v>33</v>
      </c>
      <c r="O926" s="3066" t="s">
        <v>3676</v>
      </c>
      <c r="P926" s="3066" t="s">
        <v>3566</v>
      </c>
      <c r="Q926" s="3066">
        <v>1</v>
      </c>
      <c r="R926" s="3066">
        <v>2010</v>
      </c>
      <c r="S926" s="3066" t="s">
        <v>3567</v>
      </c>
      <c r="T926" s="3066">
        <v>20</v>
      </c>
      <c r="U926" s="3066">
        <v>660</v>
      </c>
      <c r="V926" s="3066" t="s">
        <v>3560</v>
      </c>
      <c r="W926" s="3066" t="s">
        <v>3568</v>
      </c>
      <c r="X926" s="3066">
        <v>2.2999999999999998</v>
      </c>
      <c r="Y926" s="3066">
        <v>912</v>
      </c>
      <c r="Z926" s="3066" t="s">
        <v>3568</v>
      </c>
      <c r="AA926" s="3066" t="s">
        <v>3560</v>
      </c>
      <c r="AB926" s="3066" t="s">
        <v>3677</v>
      </c>
      <c r="AC926" s="3066" t="s">
        <v>3677</v>
      </c>
      <c r="AD926" s="3066" t="s">
        <v>3677</v>
      </c>
      <c r="AE926" s="3066" t="s">
        <v>3560</v>
      </c>
      <c r="AF926" s="3067">
        <v>660</v>
      </c>
      <c r="AG926" s="3066">
        <v>660</v>
      </c>
      <c r="AH926" s="3066">
        <v>76</v>
      </c>
      <c r="AI926" s="3066">
        <v>76</v>
      </c>
      <c r="AJ926" s="3066">
        <v>103.17</v>
      </c>
      <c r="AK926" s="3066">
        <v>103.17</v>
      </c>
      <c r="AL926" s="3066">
        <v>839.17</v>
      </c>
      <c r="AM926" s="3066">
        <v>839.17</v>
      </c>
      <c r="AN926" s="3066" t="s">
        <v>3560</v>
      </c>
      <c r="AP926" s="3068">
        <f t="shared" si="14"/>
        <v>20</v>
      </c>
    </row>
    <row r="927" spans="2:42" ht="27" customHeight="1">
      <c r="B927" s="3066">
        <v>935</v>
      </c>
      <c r="C927" s="3066" t="s">
        <v>6355</v>
      </c>
      <c r="D927" s="3066" t="s">
        <v>3972</v>
      </c>
      <c r="E927" s="3066" t="s">
        <v>6411</v>
      </c>
      <c r="F927" s="3066" t="s">
        <v>3917</v>
      </c>
      <c r="G927" s="3066" t="s">
        <v>1373</v>
      </c>
      <c r="H927" s="3066" t="s">
        <v>3560</v>
      </c>
      <c r="I927" s="3066" t="s">
        <v>6412</v>
      </c>
      <c r="J927" s="3066" t="s">
        <v>3560</v>
      </c>
      <c r="K927" s="3066" t="s">
        <v>3560</v>
      </c>
      <c r="L927" s="3066" t="s">
        <v>6413</v>
      </c>
      <c r="M927" s="3066" t="s">
        <v>6414</v>
      </c>
      <c r="N927" s="3066">
        <v>33</v>
      </c>
      <c r="O927" s="3066" t="s">
        <v>3619</v>
      </c>
      <c r="P927" s="3066" t="s">
        <v>3566</v>
      </c>
      <c r="Q927" s="3066">
        <v>1</v>
      </c>
      <c r="R927" s="3066">
        <v>4095</v>
      </c>
      <c r="S927" s="3066" t="s">
        <v>3567</v>
      </c>
      <c r="T927" s="3066">
        <v>20</v>
      </c>
      <c r="U927" s="3066">
        <v>660</v>
      </c>
      <c r="V927" s="3066" t="s">
        <v>3560</v>
      </c>
      <c r="W927" s="3066" t="s">
        <v>3568</v>
      </c>
      <c r="X927" s="3066">
        <v>2.2999999999999998</v>
      </c>
      <c r="Y927" s="3066">
        <v>912</v>
      </c>
      <c r="Z927" s="3066" t="s">
        <v>3568</v>
      </c>
      <c r="AA927" s="3066" t="s">
        <v>3560</v>
      </c>
      <c r="AB927" s="3066" t="s">
        <v>3584</v>
      </c>
      <c r="AC927" s="3066" t="s">
        <v>3584</v>
      </c>
      <c r="AD927" s="3066" t="s">
        <v>3584</v>
      </c>
      <c r="AE927" s="3066" t="s">
        <v>3560</v>
      </c>
      <c r="AF927" s="3067">
        <v>660</v>
      </c>
      <c r="AG927" s="3066">
        <v>660</v>
      </c>
      <c r="AH927" s="3066">
        <v>76</v>
      </c>
      <c r="AI927" s="3066">
        <v>76</v>
      </c>
      <c r="AJ927" s="3066">
        <v>25.93</v>
      </c>
      <c r="AK927" s="3066">
        <v>25.93</v>
      </c>
      <c r="AL927" s="3066">
        <v>761.93</v>
      </c>
      <c r="AM927" s="3066">
        <v>761.93</v>
      </c>
      <c r="AN927" s="3066" t="s">
        <v>3560</v>
      </c>
      <c r="AP927" s="3068">
        <f t="shared" si="14"/>
        <v>20</v>
      </c>
    </row>
    <row r="928" spans="2:42" ht="27" customHeight="1">
      <c r="B928" s="3066">
        <v>936</v>
      </c>
      <c r="C928" s="3066" t="s">
        <v>6355</v>
      </c>
      <c r="D928" s="3066" t="s">
        <v>3972</v>
      </c>
      <c r="E928" s="3066" t="s">
        <v>6415</v>
      </c>
      <c r="F928" s="3066" t="s">
        <v>3917</v>
      </c>
      <c r="G928" s="3066" t="s">
        <v>1373</v>
      </c>
      <c r="H928" s="3066" t="s">
        <v>3560</v>
      </c>
      <c r="I928" s="3066" t="s">
        <v>6416</v>
      </c>
      <c r="J928" s="3066" t="s">
        <v>3560</v>
      </c>
      <c r="K928" s="3066" t="s">
        <v>3560</v>
      </c>
      <c r="L928" s="3066" t="s">
        <v>6417</v>
      </c>
      <c r="M928" s="3066" t="s">
        <v>6418</v>
      </c>
      <c r="N928" s="3066">
        <v>33</v>
      </c>
      <c r="O928" s="3066" t="s">
        <v>3950</v>
      </c>
      <c r="P928" s="3066" t="s">
        <v>3566</v>
      </c>
      <c r="Q928" s="3066">
        <v>1</v>
      </c>
      <c r="R928" s="3066">
        <v>3680</v>
      </c>
      <c r="S928" s="3066" t="s">
        <v>3567</v>
      </c>
      <c r="T928" s="3066">
        <v>21</v>
      </c>
      <c r="U928" s="3066">
        <v>693</v>
      </c>
      <c r="V928" s="3066" t="s">
        <v>3560</v>
      </c>
      <c r="W928" s="3066" t="s">
        <v>3568</v>
      </c>
      <c r="X928" s="3066">
        <v>2.2999999999999998</v>
      </c>
      <c r="Y928" s="3066">
        <v>912</v>
      </c>
      <c r="Z928" s="3066" t="s">
        <v>3568</v>
      </c>
      <c r="AA928" s="3066" t="s">
        <v>3560</v>
      </c>
      <c r="AB928" s="3066" t="s">
        <v>3951</v>
      </c>
      <c r="AC928" s="3066" t="s">
        <v>3951</v>
      </c>
      <c r="AD928" s="3066" t="s">
        <v>3951</v>
      </c>
      <c r="AE928" s="3066" t="s">
        <v>3560</v>
      </c>
      <c r="AF928" s="3067">
        <v>693</v>
      </c>
      <c r="AG928" s="3066">
        <v>693</v>
      </c>
      <c r="AH928" s="3066">
        <v>76</v>
      </c>
      <c r="AI928" s="3066">
        <v>76</v>
      </c>
      <c r="AJ928" s="3066">
        <v>34.33</v>
      </c>
      <c r="AK928" s="3066">
        <v>34.33</v>
      </c>
      <c r="AL928" s="3066">
        <v>803.33</v>
      </c>
      <c r="AM928" s="3066">
        <v>803.33</v>
      </c>
      <c r="AN928" s="3066" t="s">
        <v>3560</v>
      </c>
      <c r="AP928" s="3068">
        <f t="shared" si="14"/>
        <v>21</v>
      </c>
    </row>
    <row r="929" spans="2:42" ht="27" customHeight="1">
      <c r="B929" s="3066">
        <v>937</v>
      </c>
      <c r="C929" s="3066" t="s">
        <v>6355</v>
      </c>
      <c r="D929" s="3066" t="s">
        <v>3972</v>
      </c>
      <c r="E929" s="3066" t="s">
        <v>6419</v>
      </c>
      <c r="F929" s="3066" t="s">
        <v>3917</v>
      </c>
      <c r="G929" s="3066" t="s">
        <v>1373</v>
      </c>
      <c r="H929" s="3066" t="s">
        <v>3560</v>
      </c>
      <c r="I929" s="3066" t="s">
        <v>6420</v>
      </c>
      <c r="J929" s="3066" t="s">
        <v>3560</v>
      </c>
      <c r="K929" s="3066" t="s">
        <v>3560</v>
      </c>
      <c r="L929" s="3066" t="s">
        <v>6421</v>
      </c>
      <c r="M929" s="3066" t="s">
        <v>6422</v>
      </c>
      <c r="N929" s="3066">
        <v>33</v>
      </c>
      <c r="O929" s="3066" t="s">
        <v>5283</v>
      </c>
      <c r="P929" s="3066" t="s">
        <v>3940</v>
      </c>
      <c r="Q929" s="3066">
        <v>1</v>
      </c>
      <c r="R929" s="3066">
        <v>3680</v>
      </c>
      <c r="S929" s="3066" t="s">
        <v>3567</v>
      </c>
      <c r="T929" s="3066">
        <v>20</v>
      </c>
      <c r="U929" s="3066">
        <v>660</v>
      </c>
      <c r="V929" s="3066" t="s">
        <v>3560</v>
      </c>
      <c r="W929" s="3066" t="s">
        <v>3568</v>
      </c>
      <c r="X929" s="3066">
        <v>2.2999999999999998</v>
      </c>
      <c r="Y929" s="3066">
        <v>912</v>
      </c>
      <c r="Z929" s="3066" t="s">
        <v>3568</v>
      </c>
      <c r="AA929" s="3066" t="s">
        <v>3560</v>
      </c>
      <c r="AB929" s="3066" t="s">
        <v>5284</v>
      </c>
      <c r="AC929" s="3066" t="s">
        <v>5284</v>
      </c>
      <c r="AD929" s="3066" t="s">
        <v>5284</v>
      </c>
      <c r="AE929" s="3066" t="s">
        <v>3560</v>
      </c>
      <c r="AF929" s="3067">
        <v>693</v>
      </c>
      <c r="AG929" s="3066">
        <v>693</v>
      </c>
      <c r="AH929" s="3066">
        <v>76</v>
      </c>
      <c r="AI929" s="3066">
        <v>76</v>
      </c>
      <c r="AJ929" s="3066">
        <v>89.15</v>
      </c>
      <c r="AK929" s="3066">
        <v>89.15</v>
      </c>
      <c r="AL929" s="3066">
        <v>858.15</v>
      </c>
      <c r="AM929" s="3066">
        <v>858.15</v>
      </c>
      <c r="AN929" s="3066" t="s">
        <v>3560</v>
      </c>
      <c r="AP929" s="3068">
        <f t="shared" si="14"/>
        <v>21</v>
      </c>
    </row>
    <row r="930" spans="2:42" ht="27" customHeight="1">
      <c r="B930" s="3066">
        <v>938</v>
      </c>
      <c r="C930" s="3066" t="s">
        <v>6355</v>
      </c>
      <c r="D930" s="3066" t="s">
        <v>3972</v>
      </c>
      <c r="E930" s="3066" t="s">
        <v>6419</v>
      </c>
      <c r="F930" s="3066" t="s">
        <v>3917</v>
      </c>
      <c r="G930" s="3066" t="s">
        <v>1373</v>
      </c>
      <c r="H930" s="3066" t="s">
        <v>3560</v>
      </c>
      <c r="I930" s="3066" t="s">
        <v>6420</v>
      </c>
      <c r="J930" s="3066" t="s">
        <v>3560</v>
      </c>
      <c r="K930" s="3066" t="s">
        <v>3560</v>
      </c>
      <c r="L930" s="3066" t="s">
        <v>6421</v>
      </c>
      <c r="M930" s="3066" t="s">
        <v>6422</v>
      </c>
      <c r="N930" s="3066">
        <v>33</v>
      </c>
      <c r="O930" s="3066" t="s">
        <v>3950</v>
      </c>
      <c r="P930" s="3066" t="s">
        <v>3745</v>
      </c>
      <c r="Q930" s="3066">
        <v>1</v>
      </c>
      <c r="R930" s="3066">
        <v>3680</v>
      </c>
      <c r="S930" s="3066" t="s">
        <v>3567</v>
      </c>
      <c r="T930" s="3066">
        <v>21</v>
      </c>
      <c r="U930" s="3066">
        <v>693</v>
      </c>
      <c r="V930" s="3066" t="s">
        <v>3560</v>
      </c>
      <c r="W930" s="3066" t="s">
        <v>3568</v>
      </c>
      <c r="X930" s="3066">
        <v>2.2999999999999998</v>
      </c>
      <c r="Y930" s="3066">
        <v>912</v>
      </c>
      <c r="Z930" s="3066" t="s">
        <v>3568</v>
      </c>
      <c r="AA930" s="3066" t="s">
        <v>3560</v>
      </c>
      <c r="AB930" s="3066" t="s">
        <v>3951</v>
      </c>
      <c r="AC930" s="3066" t="s">
        <v>3951</v>
      </c>
      <c r="AD930" s="3066" t="s">
        <v>3951</v>
      </c>
      <c r="AE930" s="3066" t="s">
        <v>3560</v>
      </c>
      <c r="AF930" s="3067">
        <v>693</v>
      </c>
      <c r="AG930" s="3066">
        <v>693</v>
      </c>
      <c r="AH930" s="3066">
        <v>76</v>
      </c>
      <c r="AI930" s="3066">
        <v>76</v>
      </c>
      <c r="AJ930" s="3066">
        <v>89.15</v>
      </c>
      <c r="AK930" s="3066">
        <v>89.15</v>
      </c>
      <c r="AL930" s="3066">
        <v>858.15</v>
      </c>
      <c r="AM930" s="3066">
        <v>858.15</v>
      </c>
      <c r="AN930" s="3066" t="s">
        <v>3560</v>
      </c>
      <c r="AP930" s="3068">
        <f t="shared" si="14"/>
        <v>21</v>
      </c>
    </row>
    <row r="931" spans="2:42" ht="27" customHeight="1">
      <c r="B931" s="3066">
        <v>939</v>
      </c>
      <c r="C931" s="3066" t="s">
        <v>6355</v>
      </c>
      <c r="D931" s="3066" t="s">
        <v>3972</v>
      </c>
      <c r="E931" s="3066" t="s">
        <v>6419</v>
      </c>
      <c r="F931" s="3066" t="s">
        <v>3917</v>
      </c>
      <c r="G931" s="3066" t="s">
        <v>3560</v>
      </c>
      <c r="H931" s="3066" t="s">
        <v>3560</v>
      </c>
      <c r="I931" s="3066" t="s">
        <v>6423</v>
      </c>
      <c r="J931" s="3066" t="s">
        <v>6423</v>
      </c>
      <c r="K931" s="3066" t="s">
        <v>3560</v>
      </c>
      <c r="L931" s="3066" t="s">
        <v>6424</v>
      </c>
      <c r="M931" s="3066" t="s">
        <v>6422</v>
      </c>
      <c r="N931" s="3066">
        <v>33</v>
      </c>
      <c r="O931" s="3066" t="s">
        <v>5211</v>
      </c>
      <c r="P931" s="3066" t="s">
        <v>3566</v>
      </c>
      <c r="Q931" s="3066">
        <v>1</v>
      </c>
      <c r="R931" s="3066">
        <v>3845</v>
      </c>
      <c r="S931" s="3066" t="s">
        <v>3567</v>
      </c>
      <c r="T931" s="3066">
        <v>21</v>
      </c>
      <c r="U931" s="3066">
        <v>693</v>
      </c>
      <c r="V931" s="3066" t="s">
        <v>3560</v>
      </c>
      <c r="W931" s="3066" t="s">
        <v>3568</v>
      </c>
      <c r="X931" s="3066">
        <v>2.2999999999999998</v>
      </c>
      <c r="Y931" s="3066">
        <v>912</v>
      </c>
      <c r="Z931" s="3066" t="s">
        <v>3568</v>
      </c>
      <c r="AA931" s="3066" t="s">
        <v>3560</v>
      </c>
      <c r="AB931" s="3066" t="s">
        <v>3943</v>
      </c>
      <c r="AC931" s="3066" t="s">
        <v>3943</v>
      </c>
      <c r="AD931" s="3066" t="s">
        <v>3943</v>
      </c>
      <c r="AE931" s="3066" t="s">
        <v>3560</v>
      </c>
      <c r="AF931" s="3067">
        <v>0</v>
      </c>
      <c r="AG931" s="3066">
        <v>0</v>
      </c>
      <c r="AH931" s="3066">
        <v>0</v>
      </c>
      <c r="AI931" s="3066">
        <v>0</v>
      </c>
      <c r="AJ931" s="3066">
        <v>0</v>
      </c>
      <c r="AK931" s="3066">
        <v>0</v>
      </c>
      <c r="AL931" s="3066">
        <v>0</v>
      </c>
      <c r="AM931" s="3066">
        <v>0</v>
      </c>
      <c r="AN931" s="3066" t="s">
        <v>3560</v>
      </c>
      <c r="AP931" s="3068">
        <f t="shared" si="14"/>
        <v>0</v>
      </c>
    </row>
    <row r="932" spans="2:42" ht="27" customHeight="1">
      <c r="B932" s="3066">
        <v>940</v>
      </c>
      <c r="C932" s="3066" t="s">
        <v>6355</v>
      </c>
      <c r="D932" s="3066" t="s">
        <v>3972</v>
      </c>
      <c r="E932" s="3066" t="s">
        <v>6425</v>
      </c>
      <c r="F932" s="3066" t="s">
        <v>3917</v>
      </c>
      <c r="G932" s="3066" t="s">
        <v>3560</v>
      </c>
      <c r="H932" s="3066" t="s">
        <v>3560</v>
      </c>
      <c r="I932" s="3066" t="s">
        <v>6426</v>
      </c>
      <c r="J932" s="3066" t="s">
        <v>6426</v>
      </c>
      <c r="K932" s="3066" t="s">
        <v>3560</v>
      </c>
      <c r="L932" s="3066" t="s">
        <v>6427</v>
      </c>
      <c r="M932" s="3066" t="s">
        <v>6428</v>
      </c>
      <c r="N932" s="3066">
        <v>33</v>
      </c>
      <c r="O932" s="3066" t="s">
        <v>5907</v>
      </c>
      <c r="P932" s="3066" t="s">
        <v>3566</v>
      </c>
      <c r="Q932" s="3066">
        <v>0</v>
      </c>
      <c r="R932" s="3066">
        <v>3680</v>
      </c>
      <c r="S932" s="3066" t="s">
        <v>3567</v>
      </c>
      <c r="T932" s="3066">
        <v>20</v>
      </c>
      <c r="U932" s="3066">
        <v>660</v>
      </c>
      <c r="V932" s="3066" t="s">
        <v>3560</v>
      </c>
      <c r="W932" s="3066" t="s">
        <v>3568</v>
      </c>
      <c r="X932" s="3066">
        <v>2.2999999999999998</v>
      </c>
      <c r="Y932" s="3066">
        <v>912</v>
      </c>
      <c r="Z932" s="3066" t="s">
        <v>3568</v>
      </c>
      <c r="AA932" s="3066" t="s">
        <v>3560</v>
      </c>
      <c r="AB932" s="3066" t="s">
        <v>5908</v>
      </c>
      <c r="AC932" s="3066" t="s">
        <v>5908</v>
      </c>
      <c r="AD932" s="3066" t="s">
        <v>5908</v>
      </c>
      <c r="AE932" s="3066" t="s">
        <v>3560</v>
      </c>
      <c r="AF932" s="3067">
        <v>660</v>
      </c>
      <c r="AG932" s="3066">
        <v>660</v>
      </c>
      <c r="AH932" s="3066">
        <v>76</v>
      </c>
      <c r="AI932" s="3066">
        <v>76</v>
      </c>
      <c r="AJ932" s="3066">
        <v>40.28</v>
      </c>
      <c r="AK932" s="3066">
        <v>40.28</v>
      </c>
      <c r="AL932" s="3066">
        <v>776.28</v>
      </c>
      <c r="AM932" s="3066">
        <v>776.28</v>
      </c>
      <c r="AN932" s="3066" t="s">
        <v>3560</v>
      </c>
      <c r="AP932" s="3068">
        <f t="shared" si="14"/>
        <v>20</v>
      </c>
    </row>
    <row r="933" spans="2:42" ht="27" customHeight="1">
      <c r="B933" s="3066">
        <v>941</v>
      </c>
      <c r="C933" s="3066" t="s">
        <v>6355</v>
      </c>
      <c r="D933" s="3066" t="s">
        <v>3972</v>
      </c>
      <c r="E933" s="3066" t="s">
        <v>6429</v>
      </c>
      <c r="F933" s="3066" t="s">
        <v>3917</v>
      </c>
      <c r="G933" s="3066" t="s">
        <v>3560</v>
      </c>
      <c r="H933" s="3066" t="s">
        <v>3560</v>
      </c>
      <c r="I933" s="3066" t="s">
        <v>6430</v>
      </c>
      <c r="J933" s="3066" t="s">
        <v>6430</v>
      </c>
      <c r="K933" s="3066" t="s">
        <v>3560</v>
      </c>
      <c r="L933" s="3066" t="s">
        <v>6405</v>
      </c>
      <c r="M933" s="3066" t="s">
        <v>6431</v>
      </c>
      <c r="N933" s="3066">
        <v>33</v>
      </c>
      <c r="O933" s="3066" t="s">
        <v>4488</v>
      </c>
      <c r="P933" s="3066" t="s">
        <v>3566</v>
      </c>
      <c r="Q933" s="3066">
        <v>1</v>
      </c>
      <c r="R933" s="3066">
        <v>3680</v>
      </c>
      <c r="S933" s="3066" t="s">
        <v>3567</v>
      </c>
      <c r="T933" s="3066">
        <v>20</v>
      </c>
      <c r="U933" s="3066">
        <v>660</v>
      </c>
      <c r="V933" s="3066" t="s">
        <v>3560</v>
      </c>
      <c r="W933" s="3066" t="s">
        <v>3568</v>
      </c>
      <c r="X933" s="3066">
        <v>2.2999999999999998</v>
      </c>
      <c r="Y933" s="3066">
        <v>912</v>
      </c>
      <c r="Z933" s="3066" t="s">
        <v>3568</v>
      </c>
      <c r="AA933" s="3066" t="s">
        <v>3560</v>
      </c>
      <c r="AB933" s="3066" t="s">
        <v>4489</v>
      </c>
      <c r="AC933" s="3066" t="s">
        <v>4489</v>
      </c>
      <c r="AD933" s="3066" t="s">
        <v>4489</v>
      </c>
      <c r="AE933" s="3066" t="s">
        <v>3560</v>
      </c>
      <c r="AF933" s="3067">
        <v>660</v>
      </c>
      <c r="AG933" s="3066">
        <v>660</v>
      </c>
      <c r="AH933" s="3066">
        <v>76</v>
      </c>
      <c r="AI933" s="3066">
        <v>76</v>
      </c>
      <c r="AJ933" s="3066">
        <v>96.12</v>
      </c>
      <c r="AK933" s="3066">
        <v>96.12</v>
      </c>
      <c r="AL933" s="3066">
        <v>832.12</v>
      </c>
      <c r="AM933" s="3066">
        <v>832.12</v>
      </c>
      <c r="AN933" s="3066" t="s">
        <v>3560</v>
      </c>
      <c r="AP933" s="3068">
        <f t="shared" si="14"/>
        <v>20</v>
      </c>
    </row>
    <row r="934" spans="2:42" ht="27" customHeight="1">
      <c r="B934" s="3066">
        <v>942</v>
      </c>
      <c r="C934" s="3066" t="s">
        <v>6355</v>
      </c>
      <c r="D934" s="3066" t="s">
        <v>3972</v>
      </c>
      <c r="E934" s="3066" t="s">
        <v>6432</v>
      </c>
      <c r="F934" s="3066" t="s">
        <v>3917</v>
      </c>
      <c r="G934" s="3066" t="s">
        <v>1373</v>
      </c>
      <c r="H934" s="3066" t="s">
        <v>3560</v>
      </c>
      <c r="I934" s="3066" t="s">
        <v>6433</v>
      </c>
      <c r="J934" s="3066" t="s">
        <v>3560</v>
      </c>
      <c r="K934" s="3066" t="s">
        <v>3560</v>
      </c>
      <c r="L934" s="3066" t="s">
        <v>6434</v>
      </c>
      <c r="M934" s="3066" t="s">
        <v>6435</v>
      </c>
      <c r="N934" s="3066">
        <v>33</v>
      </c>
      <c r="O934" s="3066" t="s">
        <v>3619</v>
      </c>
      <c r="P934" s="3066" t="s">
        <v>3566</v>
      </c>
      <c r="Q934" s="3066">
        <v>1</v>
      </c>
      <c r="R934" s="3066">
        <v>198</v>
      </c>
      <c r="S934" s="3066" t="s">
        <v>3567</v>
      </c>
      <c r="T934" s="3066">
        <v>20</v>
      </c>
      <c r="U934" s="3066">
        <v>660</v>
      </c>
      <c r="V934" s="3066" t="s">
        <v>3560</v>
      </c>
      <c r="W934" s="3066" t="s">
        <v>3568</v>
      </c>
      <c r="X934" s="3066">
        <v>2.2999999999999998</v>
      </c>
      <c r="Y934" s="3066">
        <v>912</v>
      </c>
      <c r="Z934" s="3066" t="s">
        <v>3568</v>
      </c>
      <c r="AA934" s="3066" t="s">
        <v>3560</v>
      </c>
      <c r="AB934" s="3066" t="s">
        <v>3584</v>
      </c>
      <c r="AC934" s="3066" t="s">
        <v>3584</v>
      </c>
      <c r="AD934" s="3066" t="s">
        <v>3584</v>
      </c>
      <c r="AE934" s="3066" t="s">
        <v>3560</v>
      </c>
      <c r="AF934" s="3067">
        <v>660</v>
      </c>
      <c r="AG934" s="3066">
        <v>660</v>
      </c>
      <c r="AH934" s="3066">
        <v>76</v>
      </c>
      <c r="AI934" s="3066">
        <v>76</v>
      </c>
      <c r="AJ934" s="3066">
        <v>22.44</v>
      </c>
      <c r="AK934" s="3066">
        <v>22.44</v>
      </c>
      <c r="AL934" s="3066">
        <v>758.44</v>
      </c>
      <c r="AM934" s="3066">
        <v>758.44</v>
      </c>
      <c r="AN934" s="3066" t="s">
        <v>3560</v>
      </c>
      <c r="AP934" s="3068">
        <f t="shared" si="14"/>
        <v>20</v>
      </c>
    </row>
    <row r="935" spans="2:42" ht="27" customHeight="1">
      <c r="B935" s="3066">
        <v>943</v>
      </c>
      <c r="C935" s="3066" t="s">
        <v>6355</v>
      </c>
      <c r="D935" s="3066" t="s">
        <v>4209</v>
      </c>
      <c r="E935" s="3066" t="s">
        <v>6436</v>
      </c>
      <c r="F935" s="3066" t="s">
        <v>3917</v>
      </c>
      <c r="G935" s="3066" t="s">
        <v>1373</v>
      </c>
      <c r="H935" s="3066" t="s">
        <v>3560</v>
      </c>
      <c r="I935" s="3066" t="s">
        <v>6437</v>
      </c>
      <c r="J935" s="3066" t="s">
        <v>3723</v>
      </c>
      <c r="K935" s="3066" t="s">
        <v>3560</v>
      </c>
      <c r="L935" s="3066" t="s">
        <v>3724</v>
      </c>
      <c r="M935" s="3066" t="s">
        <v>6438</v>
      </c>
      <c r="N935" s="3066">
        <v>167.7</v>
      </c>
      <c r="O935" s="3066" t="s">
        <v>3619</v>
      </c>
      <c r="P935" s="3066" t="s">
        <v>3566</v>
      </c>
      <c r="Q935" s="3066">
        <v>1</v>
      </c>
      <c r="R935" s="3066">
        <v>11068.2</v>
      </c>
      <c r="S935" s="3066" t="s">
        <v>3567</v>
      </c>
      <c r="T935" s="3066">
        <v>20</v>
      </c>
      <c r="U935" s="3066">
        <v>3354</v>
      </c>
      <c r="V935" s="3066" t="s">
        <v>3560</v>
      </c>
      <c r="W935" s="3066" t="s">
        <v>3568</v>
      </c>
      <c r="X935" s="3066">
        <v>2</v>
      </c>
      <c r="Y935" s="3066">
        <v>4024.8</v>
      </c>
      <c r="Z935" s="3066" t="s">
        <v>3568</v>
      </c>
      <c r="AA935" s="3066" t="s">
        <v>3560</v>
      </c>
      <c r="AB935" s="3066" t="s">
        <v>3584</v>
      </c>
      <c r="AC935" s="3066" t="s">
        <v>3584</v>
      </c>
      <c r="AD935" s="3066" t="s">
        <v>3584</v>
      </c>
      <c r="AE935" s="3066" t="s">
        <v>3560</v>
      </c>
      <c r="AF935" s="3067">
        <v>3354</v>
      </c>
      <c r="AG935" s="3066">
        <v>3354</v>
      </c>
      <c r="AH935" s="3066">
        <v>335.4</v>
      </c>
      <c r="AI935" s="3066">
        <v>335.4</v>
      </c>
      <c r="AJ935" s="3066">
        <v>193.34</v>
      </c>
      <c r="AK935" s="3066">
        <v>193.34</v>
      </c>
      <c r="AL935" s="3066">
        <v>3882.74</v>
      </c>
      <c r="AM935" s="3066">
        <v>3882.74</v>
      </c>
      <c r="AN935" s="3066" t="s">
        <v>3560</v>
      </c>
      <c r="AP935" s="3068">
        <f t="shared" si="14"/>
        <v>20</v>
      </c>
    </row>
    <row r="936" spans="2:42" ht="27" customHeight="1">
      <c r="B936" s="3066">
        <v>944</v>
      </c>
      <c r="C936" s="3066" t="s">
        <v>6355</v>
      </c>
      <c r="D936" s="3066" t="s">
        <v>4209</v>
      </c>
      <c r="E936" s="3066" t="s">
        <v>6439</v>
      </c>
      <c r="F936" s="3066" t="s">
        <v>3917</v>
      </c>
      <c r="G936" s="3066" t="s">
        <v>1373</v>
      </c>
      <c r="H936" s="3066" t="s">
        <v>3560</v>
      </c>
      <c r="I936" s="3066" t="s">
        <v>3722</v>
      </c>
      <c r="J936" s="3066" t="s">
        <v>3723</v>
      </c>
      <c r="K936" s="3066" t="s">
        <v>3560</v>
      </c>
      <c r="L936" s="3066" t="s">
        <v>3724</v>
      </c>
      <c r="M936" s="3066" t="s">
        <v>6440</v>
      </c>
      <c r="N936" s="3066">
        <v>165</v>
      </c>
      <c r="O936" s="3066" t="s">
        <v>3619</v>
      </c>
      <c r="P936" s="3066" t="s">
        <v>3566</v>
      </c>
      <c r="Q936" s="3066">
        <v>1</v>
      </c>
      <c r="R936" s="3066">
        <v>0</v>
      </c>
      <c r="S936" s="3066" t="s">
        <v>3577</v>
      </c>
      <c r="T936" s="3066">
        <v>20</v>
      </c>
      <c r="U936" s="3066">
        <v>3300</v>
      </c>
      <c r="V936" s="3066" t="s">
        <v>3560</v>
      </c>
      <c r="W936" s="3066" t="s">
        <v>3568</v>
      </c>
      <c r="X936" s="3066">
        <v>2</v>
      </c>
      <c r="Y936" s="3066">
        <v>3960</v>
      </c>
      <c r="Z936" s="3066" t="s">
        <v>3568</v>
      </c>
      <c r="AA936" s="3066" t="s">
        <v>3560</v>
      </c>
      <c r="AB936" s="3066" t="s">
        <v>3584</v>
      </c>
      <c r="AC936" s="3066" t="s">
        <v>3584</v>
      </c>
      <c r="AD936" s="3066" t="s">
        <v>3584</v>
      </c>
      <c r="AE936" s="3066" t="s">
        <v>3560</v>
      </c>
      <c r="AF936" s="3067">
        <v>3300</v>
      </c>
      <c r="AG936" s="3066">
        <v>3300</v>
      </c>
      <c r="AH936" s="3066">
        <v>330</v>
      </c>
      <c r="AI936" s="3066">
        <v>330</v>
      </c>
      <c r="AJ936" s="3066">
        <v>742.02</v>
      </c>
      <c r="AK936" s="3066">
        <v>742.02</v>
      </c>
      <c r="AL936" s="3066">
        <v>4372.0200000000004</v>
      </c>
      <c r="AM936" s="3066">
        <v>4372.0200000000004</v>
      </c>
      <c r="AN936" s="3066" t="s">
        <v>3560</v>
      </c>
      <c r="AP936" s="3068">
        <f t="shared" si="14"/>
        <v>20</v>
      </c>
    </row>
    <row r="937" spans="2:42" ht="27" customHeight="1">
      <c r="B937" s="3066">
        <v>945</v>
      </c>
      <c r="C937" s="3066" t="s">
        <v>6441</v>
      </c>
      <c r="D937" s="3066" t="s">
        <v>4019</v>
      </c>
      <c r="E937" s="3066" t="s">
        <v>6442</v>
      </c>
      <c r="F937" s="3066" t="s">
        <v>3917</v>
      </c>
      <c r="G937" s="3066" t="s">
        <v>3560</v>
      </c>
      <c r="H937" s="3066" t="s">
        <v>3560</v>
      </c>
      <c r="I937" s="3066" t="s">
        <v>6443</v>
      </c>
      <c r="J937" s="3066" t="s">
        <v>6443</v>
      </c>
      <c r="K937" s="3066" t="s">
        <v>3560</v>
      </c>
      <c r="L937" s="3066" t="s">
        <v>6444</v>
      </c>
      <c r="M937" s="3066" t="s">
        <v>6445</v>
      </c>
      <c r="N937" s="3066">
        <v>35.700000000000003</v>
      </c>
      <c r="O937" s="3066" t="s">
        <v>4428</v>
      </c>
      <c r="P937" s="3066" t="s">
        <v>3566</v>
      </c>
      <c r="Q937" s="3066">
        <v>1</v>
      </c>
      <c r="R937" s="3066">
        <v>3977</v>
      </c>
      <c r="S937" s="3066" t="s">
        <v>3567</v>
      </c>
      <c r="T937" s="3066">
        <v>20</v>
      </c>
      <c r="U937" s="3066">
        <v>714</v>
      </c>
      <c r="V937" s="3066" t="s">
        <v>3560</v>
      </c>
      <c r="W937" s="3066" t="s">
        <v>3568</v>
      </c>
      <c r="X937" s="3066">
        <v>2.2799999999999998</v>
      </c>
      <c r="Y937" s="3066">
        <v>976.8</v>
      </c>
      <c r="Z937" s="3066" t="s">
        <v>3568</v>
      </c>
      <c r="AA937" s="3066" t="s">
        <v>3560</v>
      </c>
      <c r="AB937" s="3066" t="s">
        <v>4429</v>
      </c>
      <c r="AC937" s="3066" t="s">
        <v>4429</v>
      </c>
      <c r="AD937" s="3066" t="s">
        <v>4429</v>
      </c>
      <c r="AE937" s="3066" t="s">
        <v>3560</v>
      </c>
      <c r="AF937" s="3067">
        <v>714</v>
      </c>
      <c r="AG937" s="3066">
        <v>714</v>
      </c>
      <c r="AH937" s="3066">
        <v>81.400000000000006</v>
      </c>
      <c r="AI937" s="3066">
        <v>81.400000000000006</v>
      </c>
      <c r="AJ937" s="3066">
        <v>104.28</v>
      </c>
      <c r="AK937" s="3066">
        <v>104.28</v>
      </c>
      <c r="AL937" s="3066">
        <v>899.68</v>
      </c>
      <c r="AM937" s="3066">
        <v>899.68</v>
      </c>
      <c r="AN937" s="3066" t="s">
        <v>3560</v>
      </c>
      <c r="AP937" s="3068">
        <f t="shared" si="14"/>
        <v>20</v>
      </c>
    </row>
    <row r="938" spans="2:42" ht="27" customHeight="1">
      <c r="B938" s="3066">
        <v>946</v>
      </c>
      <c r="C938" s="3066" t="s">
        <v>6441</v>
      </c>
      <c r="D938" s="3066" t="s">
        <v>4019</v>
      </c>
      <c r="E938" s="3066" t="s">
        <v>6446</v>
      </c>
      <c r="F938" s="3066" t="s">
        <v>3917</v>
      </c>
      <c r="G938" s="3066" t="s">
        <v>1373</v>
      </c>
      <c r="H938" s="3066" t="s">
        <v>3560</v>
      </c>
      <c r="I938" s="3066" t="s">
        <v>6447</v>
      </c>
      <c r="J938" s="3066" t="s">
        <v>3560</v>
      </c>
      <c r="K938" s="3066" t="s">
        <v>3560</v>
      </c>
      <c r="L938" s="3066" t="s">
        <v>6448</v>
      </c>
      <c r="M938" s="3066" t="s">
        <v>6449</v>
      </c>
      <c r="N938" s="3066">
        <v>33</v>
      </c>
      <c r="O938" s="3066" t="s">
        <v>3950</v>
      </c>
      <c r="P938" s="3066" t="s">
        <v>3566</v>
      </c>
      <c r="Q938" s="3066">
        <v>1</v>
      </c>
      <c r="R938" s="3066">
        <v>3845</v>
      </c>
      <c r="S938" s="3066" t="s">
        <v>3567</v>
      </c>
      <c r="T938" s="3066">
        <v>21</v>
      </c>
      <c r="U938" s="3066">
        <v>693</v>
      </c>
      <c r="V938" s="3066" t="s">
        <v>3560</v>
      </c>
      <c r="W938" s="3066" t="s">
        <v>3568</v>
      </c>
      <c r="X938" s="3066">
        <v>2.2999999999999998</v>
      </c>
      <c r="Y938" s="3066">
        <v>912</v>
      </c>
      <c r="Z938" s="3066" t="s">
        <v>3568</v>
      </c>
      <c r="AA938" s="3066" t="s">
        <v>3560</v>
      </c>
      <c r="AB938" s="3066" t="s">
        <v>3951</v>
      </c>
      <c r="AC938" s="3066" t="s">
        <v>3951</v>
      </c>
      <c r="AD938" s="3066" t="s">
        <v>3951</v>
      </c>
      <c r="AE938" s="3066" t="s">
        <v>3560</v>
      </c>
      <c r="AF938" s="3067">
        <v>693</v>
      </c>
      <c r="AG938" s="3066">
        <v>0</v>
      </c>
      <c r="AH938" s="3066">
        <v>76</v>
      </c>
      <c r="AI938" s="3066">
        <v>0</v>
      </c>
      <c r="AJ938" s="3066">
        <v>119.58</v>
      </c>
      <c r="AK938" s="3066">
        <v>0</v>
      </c>
      <c r="AL938" s="3066">
        <v>888.58</v>
      </c>
      <c r="AM938" s="3066">
        <v>0</v>
      </c>
      <c r="AN938" s="3066" t="s">
        <v>3560</v>
      </c>
      <c r="AP938" s="3068">
        <f t="shared" si="14"/>
        <v>21</v>
      </c>
    </row>
    <row r="939" spans="2:42" ht="27" customHeight="1">
      <c r="B939" s="3066">
        <v>947</v>
      </c>
      <c r="C939" s="3066" t="s">
        <v>6441</v>
      </c>
      <c r="D939" s="3066" t="s">
        <v>4019</v>
      </c>
      <c r="E939" s="3066" t="s">
        <v>6450</v>
      </c>
      <c r="F939" s="3066" t="s">
        <v>3917</v>
      </c>
      <c r="G939" s="3066" t="s">
        <v>1373</v>
      </c>
      <c r="H939" s="3066" t="s">
        <v>3560</v>
      </c>
      <c r="I939" s="3066" t="s">
        <v>6451</v>
      </c>
      <c r="J939" s="3066" t="s">
        <v>6452</v>
      </c>
      <c r="K939" s="3066" t="s">
        <v>3560</v>
      </c>
      <c r="L939" s="3066" t="s">
        <v>6453</v>
      </c>
      <c r="M939" s="3066" t="s">
        <v>6454</v>
      </c>
      <c r="N939" s="3066">
        <v>33</v>
      </c>
      <c r="O939" s="3066" t="s">
        <v>3950</v>
      </c>
      <c r="P939" s="3066" t="s">
        <v>3566</v>
      </c>
      <c r="Q939" s="3066">
        <v>1</v>
      </c>
      <c r="R939" s="3066">
        <v>3845</v>
      </c>
      <c r="S939" s="3066" t="s">
        <v>3567</v>
      </c>
      <c r="T939" s="3066">
        <v>21</v>
      </c>
      <c r="U939" s="3066">
        <v>693</v>
      </c>
      <c r="V939" s="3066" t="s">
        <v>3560</v>
      </c>
      <c r="W939" s="3066" t="s">
        <v>3568</v>
      </c>
      <c r="X939" s="3066">
        <v>2.2999999999999998</v>
      </c>
      <c r="Y939" s="3066">
        <v>912</v>
      </c>
      <c r="Z939" s="3066" t="s">
        <v>3568</v>
      </c>
      <c r="AA939" s="3066" t="s">
        <v>3560</v>
      </c>
      <c r="AB939" s="3066" t="s">
        <v>3951</v>
      </c>
      <c r="AC939" s="3066" t="s">
        <v>3951</v>
      </c>
      <c r="AD939" s="3066" t="s">
        <v>3951</v>
      </c>
      <c r="AE939" s="3066" t="s">
        <v>3560</v>
      </c>
      <c r="AF939" s="3067">
        <v>693</v>
      </c>
      <c r="AG939" s="3066">
        <v>693</v>
      </c>
      <c r="AH939" s="3066">
        <v>76</v>
      </c>
      <c r="AI939" s="3066">
        <v>76</v>
      </c>
      <c r="AJ939" s="3066">
        <v>41.47</v>
      </c>
      <c r="AK939" s="3066">
        <v>41.47</v>
      </c>
      <c r="AL939" s="3066">
        <v>810.47</v>
      </c>
      <c r="AM939" s="3066">
        <v>810.47</v>
      </c>
      <c r="AN939" s="3066" t="s">
        <v>3560</v>
      </c>
      <c r="AP939" s="3068">
        <f t="shared" si="14"/>
        <v>21</v>
      </c>
    </row>
    <row r="940" spans="2:42" ht="27" customHeight="1">
      <c r="B940" s="3066">
        <v>948</v>
      </c>
      <c r="C940" s="3066" t="s">
        <v>6441</v>
      </c>
      <c r="D940" s="3066" t="s">
        <v>4019</v>
      </c>
      <c r="E940" s="3066" t="s">
        <v>6455</v>
      </c>
      <c r="F940" s="3066" t="s">
        <v>3917</v>
      </c>
      <c r="G940" s="3066" t="s">
        <v>1373</v>
      </c>
      <c r="H940" s="3066" t="s">
        <v>3560</v>
      </c>
      <c r="I940" s="3066" t="s">
        <v>6456</v>
      </c>
      <c r="J940" s="3066" t="s">
        <v>3560</v>
      </c>
      <c r="K940" s="3066" t="s">
        <v>3560</v>
      </c>
      <c r="L940" s="3066" t="s">
        <v>6457</v>
      </c>
      <c r="M940" s="3066" t="s">
        <v>6458</v>
      </c>
      <c r="N940" s="3066">
        <v>33</v>
      </c>
      <c r="O940" s="3066" t="s">
        <v>3950</v>
      </c>
      <c r="P940" s="3066" t="s">
        <v>3566</v>
      </c>
      <c r="Q940" s="3066">
        <v>1</v>
      </c>
      <c r="R940" s="3066">
        <v>3845</v>
      </c>
      <c r="S940" s="3066" t="s">
        <v>3567</v>
      </c>
      <c r="T940" s="3066">
        <v>21</v>
      </c>
      <c r="U940" s="3066">
        <v>693</v>
      </c>
      <c r="V940" s="3066" t="s">
        <v>3560</v>
      </c>
      <c r="W940" s="3066" t="s">
        <v>3568</v>
      </c>
      <c r="X940" s="3066">
        <v>2.2999999999999998</v>
      </c>
      <c r="Y940" s="3066">
        <v>912</v>
      </c>
      <c r="Z940" s="3066" t="s">
        <v>3568</v>
      </c>
      <c r="AA940" s="3066" t="s">
        <v>3560</v>
      </c>
      <c r="AB940" s="3066" t="s">
        <v>3951</v>
      </c>
      <c r="AC940" s="3066" t="s">
        <v>3951</v>
      </c>
      <c r="AD940" s="3066" t="s">
        <v>3951</v>
      </c>
      <c r="AE940" s="3066" t="s">
        <v>3560</v>
      </c>
      <c r="AF940" s="3067">
        <v>693</v>
      </c>
      <c r="AG940" s="3066">
        <v>0</v>
      </c>
      <c r="AH940" s="3066">
        <v>76</v>
      </c>
      <c r="AI940" s="3066">
        <v>0</v>
      </c>
      <c r="AJ940" s="3066">
        <v>110.4</v>
      </c>
      <c r="AK940" s="3066">
        <v>0</v>
      </c>
      <c r="AL940" s="3066">
        <v>879.4</v>
      </c>
      <c r="AM940" s="3066">
        <v>0</v>
      </c>
      <c r="AN940" s="3066" t="s">
        <v>3560</v>
      </c>
      <c r="AP940" s="3068">
        <f t="shared" si="14"/>
        <v>21</v>
      </c>
    </row>
    <row r="941" spans="2:42" ht="27" customHeight="1">
      <c r="B941" s="3066">
        <v>949</v>
      </c>
      <c r="C941" s="3066" t="s">
        <v>6441</v>
      </c>
      <c r="D941" s="3066" t="s">
        <v>4019</v>
      </c>
      <c r="E941" s="3066" t="s">
        <v>6459</v>
      </c>
      <c r="F941" s="3066" t="s">
        <v>3917</v>
      </c>
      <c r="G941" s="3066" t="s">
        <v>3560</v>
      </c>
      <c r="H941" s="3066" t="s">
        <v>3560</v>
      </c>
      <c r="I941" s="3066" t="s">
        <v>6460</v>
      </c>
      <c r="J941" s="3066" t="s">
        <v>6460</v>
      </c>
      <c r="K941" s="3066" t="s">
        <v>3560</v>
      </c>
      <c r="L941" s="3066" t="s">
        <v>6461</v>
      </c>
      <c r="M941" s="3066" t="s">
        <v>6462</v>
      </c>
      <c r="N941" s="3066">
        <v>33</v>
      </c>
      <c r="O941" s="3066" t="s">
        <v>6463</v>
      </c>
      <c r="P941" s="3066" t="s">
        <v>3566</v>
      </c>
      <c r="Q941" s="3066">
        <v>0</v>
      </c>
      <c r="R941" s="3066">
        <v>3845</v>
      </c>
      <c r="S941" s="3066" t="s">
        <v>3567</v>
      </c>
      <c r="T941" s="3066">
        <v>21</v>
      </c>
      <c r="U941" s="3066">
        <v>693</v>
      </c>
      <c r="V941" s="3066" t="s">
        <v>3560</v>
      </c>
      <c r="W941" s="3066" t="s">
        <v>3568</v>
      </c>
      <c r="X941" s="3066">
        <v>2.2999999999999998</v>
      </c>
      <c r="Y941" s="3066">
        <v>912</v>
      </c>
      <c r="Z941" s="3066" t="s">
        <v>3568</v>
      </c>
      <c r="AA941" s="3066" t="s">
        <v>3560</v>
      </c>
      <c r="AB941" s="3066" t="s">
        <v>3951</v>
      </c>
      <c r="AC941" s="3066" t="s">
        <v>3951</v>
      </c>
      <c r="AD941" s="3066" t="s">
        <v>3951</v>
      </c>
      <c r="AE941" s="3066" t="s">
        <v>3560</v>
      </c>
      <c r="AF941" s="3067">
        <v>693</v>
      </c>
      <c r="AG941" s="3066">
        <v>693</v>
      </c>
      <c r="AH941" s="3066">
        <v>76</v>
      </c>
      <c r="AI941" s="3066">
        <v>76</v>
      </c>
      <c r="AJ941" s="3066">
        <v>83.03</v>
      </c>
      <c r="AK941" s="3066">
        <v>83.03</v>
      </c>
      <c r="AL941" s="3066">
        <v>852.03</v>
      </c>
      <c r="AM941" s="3066">
        <v>852.03</v>
      </c>
      <c r="AN941" s="3066" t="s">
        <v>3560</v>
      </c>
      <c r="AP941" s="3068">
        <f t="shared" si="14"/>
        <v>21</v>
      </c>
    </row>
    <row r="942" spans="2:42" ht="27" customHeight="1">
      <c r="B942" s="3066">
        <v>950</v>
      </c>
      <c r="C942" s="3066" t="s">
        <v>6441</v>
      </c>
      <c r="D942" s="3066" t="s">
        <v>4019</v>
      </c>
      <c r="E942" s="3066" t="s">
        <v>6464</v>
      </c>
      <c r="F942" s="3066" t="s">
        <v>3917</v>
      </c>
      <c r="G942" s="3066" t="s">
        <v>3560</v>
      </c>
      <c r="H942" s="3066" t="s">
        <v>3560</v>
      </c>
      <c r="I942" s="3066" t="s">
        <v>6465</v>
      </c>
      <c r="J942" s="3066" t="s">
        <v>6465</v>
      </c>
      <c r="K942" s="3066" t="s">
        <v>3560</v>
      </c>
      <c r="L942" s="3066" t="s">
        <v>6466</v>
      </c>
      <c r="M942" s="3066" t="s">
        <v>6467</v>
      </c>
      <c r="N942" s="3066">
        <v>33</v>
      </c>
      <c r="O942" s="3066" t="s">
        <v>3608</v>
      </c>
      <c r="P942" s="3066" t="s">
        <v>3566</v>
      </c>
      <c r="Q942" s="3066">
        <v>1</v>
      </c>
      <c r="R942" s="3066">
        <v>3680</v>
      </c>
      <c r="S942" s="3066" t="s">
        <v>3567</v>
      </c>
      <c r="T942" s="3066">
        <v>20</v>
      </c>
      <c r="U942" s="3066">
        <v>660</v>
      </c>
      <c r="V942" s="3066" t="s">
        <v>3560</v>
      </c>
      <c r="W942" s="3066" t="s">
        <v>3568</v>
      </c>
      <c r="X942" s="3066">
        <v>2.2999999999999998</v>
      </c>
      <c r="Y942" s="3066">
        <v>912</v>
      </c>
      <c r="Z942" s="3066" t="s">
        <v>3568</v>
      </c>
      <c r="AA942" s="3066" t="s">
        <v>3560</v>
      </c>
      <c r="AB942" s="3066" t="s">
        <v>3609</v>
      </c>
      <c r="AC942" s="3066" t="s">
        <v>3609</v>
      </c>
      <c r="AD942" s="3066" t="s">
        <v>3609</v>
      </c>
      <c r="AE942" s="3066" t="s">
        <v>3560</v>
      </c>
      <c r="AF942" s="3067">
        <v>660</v>
      </c>
      <c r="AG942" s="3066">
        <v>660</v>
      </c>
      <c r="AH942" s="3066">
        <v>76</v>
      </c>
      <c r="AI942" s="3066">
        <v>76</v>
      </c>
      <c r="AJ942" s="3066">
        <v>98.58</v>
      </c>
      <c r="AK942" s="3066">
        <v>98.58</v>
      </c>
      <c r="AL942" s="3066">
        <v>834.58</v>
      </c>
      <c r="AM942" s="3066">
        <v>834.58</v>
      </c>
      <c r="AN942" s="3066" t="s">
        <v>3560</v>
      </c>
      <c r="AP942" s="3068">
        <f t="shared" si="14"/>
        <v>20</v>
      </c>
    </row>
    <row r="943" spans="2:42" ht="27" customHeight="1">
      <c r="B943" s="3066">
        <v>951</v>
      </c>
      <c r="C943" s="3066" t="s">
        <v>6441</v>
      </c>
      <c r="D943" s="3066" t="s">
        <v>4019</v>
      </c>
      <c r="E943" s="3066" t="s">
        <v>6468</v>
      </c>
      <c r="F943" s="3066" t="s">
        <v>3917</v>
      </c>
      <c r="G943" s="3066" t="s">
        <v>1373</v>
      </c>
      <c r="H943" s="3066" t="s">
        <v>3560</v>
      </c>
      <c r="I943" s="3066" t="s">
        <v>6469</v>
      </c>
      <c r="J943" s="3066" t="s">
        <v>6469</v>
      </c>
      <c r="K943" s="3066" t="s">
        <v>3560</v>
      </c>
      <c r="L943" s="3066" t="s">
        <v>6470</v>
      </c>
      <c r="M943" s="3066" t="s">
        <v>6471</v>
      </c>
      <c r="N943" s="3066">
        <v>33</v>
      </c>
      <c r="O943" s="3066" t="s">
        <v>3931</v>
      </c>
      <c r="P943" s="3066" t="s">
        <v>3566</v>
      </c>
      <c r="Q943" s="3066">
        <v>1</v>
      </c>
      <c r="R943" s="3066">
        <v>2208</v>
      </c>
      <c r="S943" s="3066" t="s">
        <v>3567</v>
      </c>
      <c r="T943" s="3066">
        <v>20</v>
      </c>
      <c r="U943" s="3066">
        <v>660</v>
      </c>
      <c r="V943" s="3066" t="s">
        <v>3560</v>
      </c>
      <c r="W943" s="3066" t="s">
        <v>3568</v>
      </c>
      <c r="X943" s="3066">
        <v>2.2999999999999998</v>
      </c>
      <c r="Y943" s="3066">
        <v>912</v>
      </c>
      <c r="Z943" s="3066" t="s">
        <v>3568</v>
      </c>
      <c r="AA943" s="3066" t="s">
        <v>3560</v>
      </c>
      <c r="AB943" s="3066" t="s">
        <v>3932</v>
      </c>
      <c r="AC943" s="3066" t="s">
        <v>3932</v>
      </c>
      <c r="AD943" s="3066" t="s">
        <v>3932</v>
      </c>
      <c r="AE943" s="3066" t="s">
        <v>3560</v>
      </c>
      <c r="AF943" s="3067">
        <v>660</v>
      </c>
      <c r="AG943" s="3066">
        <v>0</v>
      </c>
      <c r="AH943" s="3066">
        <v>76</v>
      </c>
      <c r="AI943" s="3066">
        <v>0</v>
      </c>
      <c r="AJ943" s="3066">
        <v>42.33</v>
      </c>
      <c r="AK943" s="3066">
        <v>0</v>
      </c>
      <c r="AL943" s="3066">
        <v>778.33</v>
      </c>
      <c r="AM943" s="3066">
        <v>0</v>
      </c>
      <c r="AN943" s="3066" t="s">
        <v>3560</v>
      </c>
      <c r="AP943" s="3068">
        <f t="shared" si="14"/>
        <v>20</v>
      </c>
    </row>
    <row r="944" spans="2:42" ht="27" customHeight="1">
      <c r="B944" s="3066">
        <v>952</v>
      </c>
      <c r="C944" s="3066" t="s">
        <v>6441</v>
      </c>
      <c r="D944" s="3066" t="s">
        <v>4019</v>
      </c>
      <c r="E944" s="3066" t="s">
        <v>6472</v>
      </c>
      <c r="F944" s="3066" t="s">
        <v>3917</v>
      </c>
      <c r="G944" s="3066" t="s">
        <v>3560</v>
      </c>
      <c r="H944" s="3066" t="s">
        <v>3560</v>
      </c>
      <c r="I944" s="3066" t="s">
        <v>6473</v>
      </c>
      <c r="J944" s="3066" t="s">
        <v>6473</v>
      </c>
      <c r="K944" s="3066" t="s">
        <v>3560</v>
      </c>
      <c r="L944" s="3066" t="s">
        <v>6474</v>
      </c>
      <c r="M944" s="3066" t="s">
        <v>6475</v>
      </c>
      <c r="N944" s="3066">
        <v>33</v>
      </c>
      <c r="O944" s="3066" t="s">
        <v>5283</v>
      </c>
      <c r="P944" s="3066" t="s">
        <v>3940</v>
      </c>
      <c r="Q944" s="3066">
        <v>1</v>
      </c>
      <c r="R944" s="3066">
        <v>3680</v>
      </c>
      <c r="S944" s="3066" t="s">
        <v>3567</v>
      </c>
      <c r="T944" s="3066">
        <v>20</v>
      </c>
      <c r="U944" s="3066">
        <v>660</v>
      </c>
      <c r="V944" s="3066" t="s">
        <v>3560</v>
      </c>
      <c r="W944" s="3066" t="s">
        <v>3568</v>
      </c>
      <c r="X944" s="3066">
        <v>2.2999999999999998</v>
      </c>
      <c r="Y944" s="3066">
        <v>912</v>
      </c>
      <c r="Z944" s="3066" t="s">
        <v>3568</v>
      </c>
      <c r="AA944" s="3066" t="s">
        <v>3560</v>
      </c>
      <c r="AB944" s="3066" t="s">
        <v>5284</v>
      </c>
      <c r="AC944" s="3066" t="s">
        <v>5284</v>
      </c>
      <c r="AD944" s="3066" t="s">
        <v>5284</v>
      </c>
      <c r="AE944" s="3066" t="s">
        <v>3560</v>
      </c>
      <c r="AF944" s="3067">
        <v>693</v>
      </c>
      <c r="AG944" s="3066">
        <v>693</v>
      </c>
      <c r="AH944" s="3066">
        <v>76</v>
      </c>
      <c r="AI944" s="3066">
        <v>76</v>
      </c>
      <c r="AJ944" s="3066">
        <v>172.16</v>
      </c>
      <c r="AK944" s="3066">
        <v>172.16</v>
      </c>
      <c r="AL944" s="3066">
        <v>941.16</v>
      </c>
      <c r="AM944" s="3066">
        <v>941.16</v>
      </c>
      <c r="AN944" s="3066" t="s">
        <v>3560</v>
      </c>
      <c r="AP944" s="3068">
        <f t="shared" si="14"/>
        <v>21</v>
      </c>
    </row>
    <row r="945" spans="2:42" ht="27" customHeight="1">
      <c r="B945" s="3066">
        <v>953</v>
      </c>
      <c r="C945" s="3066" t="s">
        <v>6441</v>
      </c>
      <c r="D945" s="3066" t="s">
        <v>4019</v>
      </c>
      <c r="E945" s="3066" t="s">
        <v>6472</v>
      </c>
      <c r="F945" s="3066" t="s">
        <v>3917</v>
      </c>
      <c r="G945" s="3066" t="s">
        <v>3560</v>
      </c>
      <c r="H945" s="3066" t="s">
        <v>3560</v>
      </c>
      <c r="I945" s="3066" t="s">
        <v>6473</v>
      </c>
      <c r="J945" s="3066" t="s">
        <v>6473</v>
      </c>
      <c r="K945" s="3066" t="s">
        <v>3560</v>
      </c>
      <c r="L945" s="3066" t="s">
        <v>6474</v>
      </c>
      <c r="M945" s="3066" t="s">
        <v>6475</v>
      </c>
      <c r="N945" s="3066">
        <v>33</v>
      </c>
      <c r="O945" s="3066" t="s">
        <v>3950</v>
      </c>
      <c r="P945" s="3066" t="s">
        <v>3745</v>
      </c>
      <c r="Q945" s="3066">
        <v>1</v>
      </c>
      <c r="R945" s="3066">
        <v>3680</v>
      </c>
      <c r="S945" s="3066" t="s">
        <v>3567</v>
      </c>
      <c r="T945" s="3066">
        <v>21</v>
      </c>
      <c r="U945" s="3066">
        <v>693</v>
      </c>
      <c r="V945" s="3066" t="s">
        <v>3560</v>
      </c>
      <c r="W945" s="3066" t="s">
        <v>3568</v>
      </c>
      <c r="X945" s="3066">
        <v>2.2999999999999998</v>
      </c>
      <c r="Y945" s="3066">
        <v>912</v>
      </c>
      <c r="Z945" s="3066" t="s">
        <v>3568</v>
      </c>
      <c r="AA945" s="3066" t="s">
        <v>3560</v>
      </c>
      <c r="AB945" s="3066" t="s">
        <v>3951</v>
      </c>
      <c r="AC945" s="3066" t="s">
        <v>3951</v>
      </c>
      <c r="AD945" s="3066" t="s">
        <v>3951</v>
      </c>
      <c r="AE945" s="3066" t="s">
        <v>3560</v>
      </c>
      <c r="AF945" s="3067">
        <v>693</v>
      </c>
      <c r="AG945" s="3066">
        <v>693</v>
      </c>
      <c r="AH945" s="3066">
        <v>76</v>
      </c>
      <c r="AI945" s="3066">
        <v>76</v>
      </c>
      <c r="AJ945" s="3066">
        <v>172.16</v>
      </c>
      <c r="AK945" s="3066">
        <v>172.16</v>
      </c>
      <c r="AL945" s="3066">
        <v>941.16</v>
      </c>
      <c r="AM945" s="3066">
        <v>941.16</v>
      </c>
      <c r="AN945" s="3066" t="s">
        <v>3560</v>
      </c>
      <c r="AP945" s="3068">
        <f t="shared" si="14"/>
        <v>21</v>
      </c>
    </row>
    <row r="946" spans="2:42" ht="27" customHeight="1">
      <c r="B946" s="3066">
        <v>954</v>
      </c>
      <c r="C946" s="3066" t="s">
        <v>6441</v>
      </c>
      <c r="D946" s="3066" t="s">
        <v>4019</v>
      </c>
      <c r="E946" s="3066" t="s">
        <v>6472</v>
      </c>
      <c r="F946" s="3066" t="s">
        <v>3917</v>
      </c>
      <c r="G946" s="3066" t="s">
        <v>3560</v>
      </c>
      <c r="H946" s="3066" t="s">
        <v>3560</v>
      </c>
      <c r="I946" s="3066" t="s">
        <v>6476</v>
      </c>
      <c r="J946" s="3066" t="s">
        <v>6476</v>
      </c>
      <c r="K946" s="3066" t="s">
        <v>3560</v>
      </c>
      <c r="L946" s="3066" t="s">
        <v>6477</v>
      </c>
      <c r="M946" s="3066" t="s">
        <v>6475</v>
      </c>
      <c r="N946" s="3066">
        <v>33</v>
      </c>
      <c r="O946" s="3066" t="s">
        <v>5211</v>
      </c>
      <c r="P946" s="3066" t="s">
        <v>3566</v>
      </c>
      <c r="Q946" s="3066">
        <v>1</v>
      </c>
      <c r="R946" s="3066">
        <v>2307</v>
      </c>
      <c r="S946" s="3066" t="s">
        <v>3567</v>
      </c>
      <c r="T946" s="3066">
        <v>21</v>
      </c>
      <c r="U946" s="3066">
        <v>693</v>
      </c>
      <c r="V946" s="3066" t="s">
        <v>3560</v>
      </c>
      <c r="W946" s="3066" t="s">
        <v>3568</v>
      </c>
      <c r="X946" s="3066">
        <v>2.2999999999999998</v>
      </c>
      <c r="Y946" s="3066">
        <v>912</v>
      </c>
      <c r="Z946" s="3066" t="s">
        <v>3568</v>
      </c>
      <c r="AA946" s="3066" t="s">
        <v>3560</v>
      </c>
      <c r="AB946" s="3066" t="s">
        <v>3943</v>
      </c>
      <c r="AC946" s="3066" t="s">
        <v>3943</v>
      </c>
      <c r="AD946" s="3066" t="s">
        <v>3943</v>
      </c>
      <c r="AE946" s="3066" t="s">
        <v>3560</v>
      </c>
      <c r="AF946" s="3067">
        <v>0</v>
      </c>
      <c r="AG946" s="3066">
        <v>0</v>
      </c>
      <c r="AH946" s="3066">
        <v>0</v>
      </c>
      <c r="AI946" s="3066">
        <v>0</v>
      </c>
      <c r="AJ946" s="3066">
        <v>0</v>
      </c>
      <c r="AK946" s="3066">
        <v>0</v>
      </c>
      <c r="AL946" s="3066">
        <v>0</v>
      </c>
      <c r="AM946" s="3066">
        <v>0</v>
      </c>
      <c r="AN946" s="3066" t="s">
        <v>3560</v>
      </c>
      <c r="AP946" s="3068">
        <f t="shared" si="14"/>
        <v>0</v>
      </c>
    </row>
    <row r="947" spans="2:42" ht="27" customHeight="1">
      <c r="B947" s="3066">
        <v>955</v>
      </c>
      <c r="C947" s="3066" t="s">
        <v>6441</v>
      </c>
      <c r="D947" s="3066" t="s">
        <v>4019</v>
      </c>
      <c r="E947" s="3066" t="s">
        <v>6478</v>
      </c>
      <c r="F947" s="3066" t="s">
        <v>3917</v>
      </c>
      <c r="G947" s="3066" t="s">
        <v>1373</v>
      </c>
      <c r="H947" s="3066" t="s">
        <v>3560</v>
      </c>
      <c r="I947" s="3066" t="s">
        <v>6479</v>
      </c>
      <c r="J947" s="3066" t="s">
        <v>3560</v>
      </c>
      <c r="K947" s="3066" t="s">
        <v>3560</v>
      </c>
      <c r="L947" s="3066" t="s">
        <v>6480</v>
      </c>
      <c r="M947" s="3066" t="s">
        <v>6481</v>
      </c>
      <c r="N947" s="3066">
        <v>33</v>
      </c>
      <c r="O947" s="3066" t="s">
        <v>4008</v>
      </c>
      <c r="P947" s="3066" t="s">
        <v>3566</v>
      </c>
      <c r="Q947" s="3066">
        <v>1</v>
      </c>
      <c r="R947" s="3066">
        <v>1980</v>
      </c>
      <c r="S947" s="3066" t="s">
        <v>3567</v>
      </c>
      <c r="T947" s="3066">
        <v>20</v>
      </c>
      <c r="U947" s="3066">
        <v>660</v>
      </c>
      <c r="V947" s="3066" t="s">
        <v>3560</v>
      </c>
      <c r="W947" s="3066" t="s">
        <v>3568</v>
      </c>
      <c r="X947" s="3066">
        <v>2.2999999999999998</v>
      </c>
      <c r="Y947" s="3066">
        <v>912</v>
      </c>
      <c r="Z947" s="3066" t="s">
        <v>3568</v>
      </c>
      <c r="AA947" s="3066" t="s">
        <v>3560</v>
      </c>
      <c r="AB947" s="3066" t="s">
        <v>3692</v>
      </c>
      <c r="AC947" s="3066" t="s">
        <v>3692</v>
      </c>
      <c r="AD947" s="3066" t="s">
        <v>3692</v>
      </c>
      <c r="AE947" s="3066" t="s">
        <v>3560</v>
      </c>
      <c r="AF947" s="3067">
        <v>660</v>
      </c>
      <c r="AG947" s="3066">
        <v>660</v>
      </c>
      <c r="AH947" s="3066">
        <v>76</v>
      </c>
      <c r="AI947" s="3066">
        <v>76</v>
      </c>
      <c r="AJ947" s="3066">
        <v>62.72</v>
      </c>
      <c r="AK947" s="3066">
        <v>62.72</v>
      </c>
      <c r="AL947" s="3066">
        <v>798.72</v>
      </c>
      <c r="AM947" s="3066">
        <v>798.72</v>
      </c>
      <c r="AN947" s="3066" t="s">
        <v>3560</v>
      </c>
      <c r="AP947" s="3068">
        <f t="shared" si="14"/>
        <v>20</v>
      </c>
    </row>
    <row r="948" spans="2:42" ht="27" customHeight="1">
      <c r="B948" s="3066">
        <v>956</v>
      </c>
      <c r="C948" s="3066" t="s">
        <v>6441</v>
      </c>
      <c r="D948" s="3066" t="s">
        <v>4019</v>
      </c>
      <c r="E948" s="3066" t="s">
        <v>6482</v>
      </c>
      <c r="F948" s="3066" t="s">
        <v>3917</v>
      </c>
      <c r="G948" s="3066" t="s">
        <v>1373</v>
      </c>
      <c r="H948" s="3066" t="s">
        <v>3560</v>
      </c>
      <c r="I948" s="3066" t="s">
        <v>6483</v>
      </c>
      <c r="J948" s="3066" t="s">
        <v>3560</v>
      </c>
      <c r="K948" s="3066" t="s">
        <v>3560</v>
      </c>
      <c r="L948" s="3066" t="s">
        <v>6484</v>
      </c>
      <c r="M948" s="3066" t="s">
        <v>6485</v>
      </c>
      <c r="N948" s="3066">
        <v>33</v>
      </c>
      <c r="O948" s="3066" t="s">
        <v>4008</v>
      </c>
      <c r="P948" s="3066" t="s">
        <v>3566</v>
      </c>
      <c r="Q948" s="3066">
        <v>1</v>
      </c>
      <c r="R948" s="3066">
        <v>1980</v>
      </c>
      <c r="S948" s="3066" t="s">
        <v>3567</v>
      </c>
      <c r="T948" s="3066">
        <v>20</v>
      </c>
      <c r="U948" s="3066">
        <v>660</v>
      </c>
      <c r="V948" s="3066" t="s">
        <v>3560</v>
      </c>
      <c r="W948" s="3066" t="s">
        <v>3568</v>
      </c>
      <c r="X948" s="3066">
        <v>2.2999999999999998</v>
      </c>
      <c r="Y948" s="3066">
        <v>912</v>
      </c>
      <c r="Z948" s="3066" t="s">
        <v>3568</v>
      </c>
      <c r="AA948" s="3066" t="s">
        <v>3560</v>
      </c>
      <c r="AB948" s="3066" t="s">
        <v>3692</v>
      </c>
      <c r="AC948" s="3066" t="s">
        <v>3692</v>
      </c>
      <c r="AD948" s="3066" t="s">
        <v>3692</v>
      </c>
      <c r="AE948" s="3066" t="s">
        <v>3560</v>
      </c>
      <c r="AF948" s="3067">
        <v>660</v>
      </c>
      <c r="AG948" s="3066">
        <v>660</v>
      </c>
      <c r="AH948" s="3066">
        <v>76</v>
      </c>
      <c r="AI948" s="3066">
        <v>76</v>
      </c>
      <c r="AJ948" s="3066">
        <v>87.79</v>
      </c>
      <c r="AK948" s="3066">
        <v>87.79</v>
      </c>
      <c r="AL948" s="3066">
        <v>823.79</v>
      </c>
      <c r="AM948" s="3066">
        <v>823.79</v>
      </c>
      <c r="AN948" s="3066" t="s">
        <v>3560</v>
      </c>
      <c r="AP948" s="3068">
        <f t="shared" si="14"/>
        <v>20</v>
      </c>
    </row>
    <row r="949" spans="2:42" ht="27" customHeight="1">
      <c r="B949" s="3066">
        <v>957</v>
      </c>
      <c r="C949" s="3066" t="s">
        <v>6441</v>
      </c>
      <c r="D949" s="3066" t="s">
        <v>5423</v>
      </c>
      <c r="E949" s="3066" t="s">
        <v>6486</v>
      </c>
      <c r="F949" s="3066" t="s">
        <v>3917</v>
      </c>
      <c r="G949" s="3066" t="s">
        <v>1373</v>
      </c>
      <c r="H949" s="3066" t="s">
        <v>3560</v>
      </c>
      <c r="I949" s="3066" t="s">
        <v>6487</v>
      </c>
      <c r="J949" s="3066" t="s">
        <v>6488</v>
      </c>
      <c r="K949" s="3066" t="s">
        <v>3560</v>
      </c>
      <c r="L949" s="3066" t="s">
        <v>6489</v>
      </c>
      <c r="M949" s="3066" t="s">
        <v>6490</v>
      </c>
      <c r="N949" s="3066">
        <v>333</v>
      </c>
      <c r="O949" s="3066" t="s">
        <v>3619</v>
      </c>
      <c r="P949" s="3066" t="s">
        <v>3566</v>
      </c>
      <c r="Q949" s="3066">
        <v>1</v>
      </c>
      <c r="R949" s="3066">
        <v>21978</v>
      </c>
      <c r="S949" s="3066" t="s">
        <v>3567</v>
      </c>
      <c r="T949" s="3066">
        <v>20</v>
      </c>
      <c r="U949" s="3066">
        <v>6660</v>
      </c>
      <c r="V949" s="3066" t="s">
        <v>3560</v>
      </c>
      <c r="W949" s="3066" t="s">
        <v>3568</v>
      </c>
      <c r="X949" s="3066">
        <v>2</v>
      </c>
      <c r="Y949" s="3066">
        <v>7992</v>
      </c>
      <c r="Z949" s="3066" t="s">
        <v>3568</v>
      </c>
      <c r="AA949" s="3066" t="s">
        <v>3560</v>
      </c>
      <c r="AB949" s="3066" t="s">
        <v>3584</v>
      </c>
      <c r="AC949" s="3066" t="s">
        <v>3584</v>
      </c>
      <c r="AD949" s="3066" t="s">
        <v>3584</v>
      </c>
      <c r="AE949" s="3066" t="s">
        <v>3560</v>
      </c>
      <c r="AF949" s="3067">
        <v>6660</v>
      </c>
      <c r="AG949" s="3066">
        <v>0</v>
      </c>
      <c r="AH949" s="3066">
        <v>666</v>
      </c>
      <c r="AI949" s="3066">
        <v>0</v>
      </c>
      <c r="AJ949" s="3066">
        <v>474.21</v>
      </c>
      <c r="AK949" s="3066">
        <v>0</v>
      </c>
      <c r="AL949" s="3066">
        <v>7800.21</v>
      </c>
      <c r="AM949" s="3066">
        <v>0</v>
      </c>
      <c r="AN949" s="3066" t="s">
        <v>3560</v>
      </c>
      <c r="AP949" s="3068">
        <f t="shared" si="14"/>
        <v>20</v>
      </c>
    </row>
    <row r="950" spans="2:42" ht="27" customHeight="1">
      <c r="B950" s="3066">
        <v>958</v>
      </c>
      <c r="C950" s="3066" t="s">
        <v>6441</v>
      </c>
      <c r="D950" s="3066" t="s">
        <v>3915</v>
      </c>
      <c r="E950" s="3066" t="s">
        <v>6491</v>
      </c>
      <c r="F950" s="3066" t="s">
        <v>3917</v>
      </c>
      <c r="G950" s="3066" t="s">
        <v>4312</v>
      </c>
      <c r="H950" s="3066" t="s">
        <v>3560</v>
      </c>
      <c r="I950" s="3066" t="s">
        <v>5603</v>
      </c>
      <c r="J950" s="3066" t="s">
        <v>5603</v>
      </c>
      <c r="K950" s="3066" t="s">
        <v>3560</v>
      </c>
      <c r="L950" s="3066" t="s">
        <v>6492</v>
      </c>
      <c r="M950" s="3066" t="s">
        <v>6493</v>
      </c>
      <c r="N950" s="3066">
        <v>35.700000000000003</v>
      </c>
      <c r="O950" s="3066" t="s">
        <v>4008</v>
      </c>
      <c r="P950" s="3066" t="s">
        <v>3566</v>
      </c>
      <c r="Q950" s="3066">
        <v>1</v>
      </c>
      <c r="R950" s="3066">
        <v>3350</v>
      </c>
      <c r="S950" s="3066" t="s">
        <v>3567</v>
      </c>
      <c r="T950" s="3066">
        <v>20</v>
      </c>
      <c r="U950" s="3066">
        <v>714</v>
      </c>
      <c r="V950" s="3066" t="s">
        <v>3560</v>
      </c>
      <c r="W950" s="3066" t="s">
        <v>3568</v>
      </c>
      <c r="X950" s="3066">
        <v>2.2799999999999998</v>
      </c>
      <c r="Y950" s="3066">
        <v>976.8</v>
      </c>
      <c r="Z950" s="3066" t="s">
        <v>3568</v>
      </c>
      <c r="AA950" s="3066" t="s">
        <v>3560</v>
      </c>
      <c r="AB950" s="3066" t="s">
        <v>3692</v>
      </c>
      <c r="AC950" s="3066" t="s">
        <v>3692</v>
      </c>
      <c r="AD950" s="3066" t="s">
        <v>3692</v>
      </c>
      <c r="AE950" s="3066" t="s">
        <v>3560</v>
      </c>
      <c r="AF950" s="3067">
        <v>714</v>
      </c>
      <c r="AG950" s="3066">
        <v>714</v>
      </c>
      <c r="AH950" s="3066">
        <v>81.400000000000006</v>
      </c>
      <c r="AI950" s="3066">
        <v>81.400000000000006</v>
      </c>
      <c r="AJ950" s="3066">
        <v>97.48</v>
      </c>
      <c r="AK950" s="3066">
        <v>97.48</v>
      </c>
      <c r="AL950" s="3066">
        <v>892.88</v>
      </c>
      <c r="AM950" s="3066">
        <v>892.88</v>
      </c>
      <c r="AN950" s="3066" t="s">
        <v>3560</v>
      </c>
      <c r="AP950" s="3068">
        <f t="shared" si="14"/>
        <v>20</v>
      </c>
    </row>
    <row r="951" spans="2:42" ht="27" customHeight="1">
      <c r="B951" s="3066">
        <v>959</v>
      </c>
      <c r="C951" s="3066" t="s">
        <v>6441</v>
      </c>
      <c r="D951" s="3066" t="s">
        <v>3915</v>
      </c>
      <c r="E951" s="3066" t="s">
        <v>6494</v>
      </c>
      <c r="F951" s="3066" t="s">
        <v>3917</v>
      </c>
      <c r="G951" s="3066" t="s">
        <v>1373</v>
      </c>
      <c r="H951" s="3066" t="s">
        <v>3560</v>
      </c>
      <c r="I951" s="3066" t="s">
        <v>6495</v>
      </c>
      <c r="J951" s="3066" t="s">
        <v>3560</v>
      </c>
      <c r="K951" s="3066" t="s">
        <v>3560</v>
      </c>
      <c r="L951" s="3066" t="s">
        <v>6496</v>
      </c>
      <c r="M951" s="3066" t="s">
        <v>6497</v>
      </c>
      <c r="N951" s="3066">
        <v>33</v>
      </c>
      <c r="O951" s="3066" t="s">
        <v>3950</v>
      </c>
      <c r="P951" s="3066" t="s">
        <v>3566</v>
      </c>
      <c r="Q951" s="3066">
        <v>1</v>
      </c>
      <c r="R951" s="3066">
        <v>3680</v>
      </c>
      <c r="S951" s="3066" t="s">
        <v>3567</v>
      </c>
      <c r="T951" s="3066">
        <v>21</v>
      </c>
      <c r="U951" s="3066">
        <v>693</v>
      </c>
      <c r="V951" s="3066" t="s">
        <v>3560</v>
      </c>
      <c r="W951" s="3066" t="s">
        <v>3568</v>
      </c>
      <c r="X951" s="3066">
        <v>2.2999999999999998</v>
      </c>
      <c r="Y951" s="3066">
        <v>912</v>
      </c>
      <c r="Z951" s="3066" t="s">
        <v>3568</v>
      </c>
      <c r="AA951" s="3066" t="s">
        <v>3560</v>
      </c>
      <c r="AB951" s="3066" t="s">
        <v>3951</v>
      </c>
      <c r="AC951" s="3066" t="s">
        <v>3951</v>
      </c>
      <c r="AD951" s="3066" t="s">
        <v>3951</v>
      </c>
      <c r="AE951" s="3066" t="s">
        <v>3560</v>
      </c>
      <c r="AF951" s="3067">
        <v>693</v>
      </c>
      <c r="AG951" s="3066">
        <v>693</v>
      </c>
      <c r="AH951" s="3066">
        <v>76</v>
      </c>
      <c r="AI951" s="3066">
        <v>76</v>
      </c>
      <c r="AJ951" s="3066">
        <v>48.44</v>
      </c>
      <c r="AK951" s="3066">
        <v>48.44</v>
      </c>
      <c r="AL951" s="3066">
        <v>817.44</v>
      </c>
      <c r="AM951" s="3066">
        <v>817.44</v>
      </c>
      <c r="AN951" s="3066" t="s">
        <v>3560</v>
      </c>
      <c r="AP951" s="3068">
        <f t="shared" si="14"/>
        <v>21</v>
      </c>
    </row>
    <row r="952" spans="2:42" ht="27" customHeight="1">
      <c r="B952" s="3066">
        <v>960</v>
      </c>
      <c r="C952" s="3066" t="s">
        <v>6441</v>
      </c>
      <c r="D952" s="3066" t="s">
        <v>3915</v>
      </c>
      <c r="E952" s="3066" t="s">
        <v>6498</v>
      </c>
      <c r="F952" s="3066" t="s">
        <v>3917</v>
      </c>
      <c r="G952" s="3066" t="s">
        <v>1373</v>
      </c>
      <c r="H952" s="3066" t="s">
        <v>3560</v>
      </c>
      <c r="I952" s="3066" t="s">
        <v>6499</v>
      </c>
      <c r="J952" s="3066" t="s">
        <v>3560</v>
      </c>
      <c r="K952" s="3066" t="s">
        <v>3560</v>
      </c>
      <c r="L952" s="3066" t="s">
        <v>6500</v>
      </c>
      <c r="M952" s="3066" t="s">
        <v>6501</v>
      </c>
      <c r="N952" s="3066">
        <v>33</v>
      </c>
      <c r="O952" s="3066" t="s">
        <v>3676</v>
      </c>
      <c r="P952" s="3066" t="s">
        <v>3566</v>
      </c>
      <c r="Q952" s="3066">
        <v>1</v>
      </c>
      <c r="R952" s="3066">
        <v>3350</v>
      </c>
      <c r="S952" s="3066" t="s">
        <v>3567</v>
      </c>
      <c r="T952" s="3066">
        <v>20</v>
      </c>
      <c r="U952" s="3066">
        <v>660</v>
      </c>
      <c r="V952" s="3066" t="s">
        <v>3560</v>
      </c>
      <c r="W952" s="3066" t="s">
        <v>3568</v>
      </c>
      <c r="X952" s="3066">
        <v>2.2999999999999998</v>
      </c>
      <c r="Y952" s="3066">
        <v>912</v>
      </c>
      <c r="Z952" s="3066" t="s">
        <v>3568</v>
      </c>
      <c r="AA952" s="3066" t="s">
        <v>3560</v>
      </c>
      <c r="AB952" s="3066" t="s">
        <v>3677</v>
      </c>
      <c r="AC952" s="3066" t="s">
        <v>3677</v>
      </c>
      <c r="AD952" s="3066" t="s">
        <v>3677</v>
      </c>
      <c r="AE952" s="3066" t="s">
        <v>3560</v>
      </c>
      <c r="AF952" s="3067">
        <v>660</v>
      </c>
      <c r="AG952" s="3066">
        <v>0</v>
      </c>
      <c r="AH952" s="3066">
        <v>76</v>
      </c>
      <c r="AI952" s="3066">
        <v>0</v>
      </c>
      <c r="AJ952" s="3066">
        <v>37.99</v>
      </c>
      <c r="AK952" s="3066">
        <v>0</v>
      </c>
      <c r="AL952" s="3066">
        <v>773.99</v>
      </c>
      <c r="AM952" s="3066">
        <v>0</v>
      </c>
      <c r="AN952" s="3066" t="s">
        <v>3560</v>
      </c>
      <c r="AP952" s="3068">
        <f t="shared" si="14"/>
        <v>20</v>
      </c>
    </row>
    <row r="953" spans="2:42" ht="27" customHeight="1">
      <c r="B953" s="3066">
        <v>961</v>
      </c>
      <c r="C953" s="3066" t="s">
        <v>6441</v>
      </c>
      <c r="D953" s="3066" t="s">
        <v>3915</v>
      </c>
      <c r="E953" s="3066" t="s">
        <v>6502</v>
      </c>
      <c r="F953" s="3066" t="s">
        <v>3917</v>
      </c>
      <c r="G953" s="3066" t="s">
        <v>1373</v>
      </c>
      <c r="H953" s="3066" t="s">
        <v>3560</v>
      </c>
      <c r="I953" s="3066" t="s">
        <v>6503</v>
      </c>
      <c r="J953" s="3066" t="s">
        <v>3560</v>
      </c>
      <c r="K953" s="3066" t="s">
        <v>3560</v>
      </c>
      <c r="L953" s="3066" t="s">
        <v>6504</v>
      </c>
      <c r="M953" s="3066" t="s">
        <v>6505</v>
      </c>
      <c r="N953" s="3066">
        <v>33</v>
      </c>
      <c r="O953" s="3066" t="s">
        <v>3619</v>
      </c>
      <c r="P953" s="3066" t="s">
        <v>3566</v>
      </c>
      <c r="Q953" s="3066">
        <v>1</v>
      </c>
      <c r="R953" s="3066">
        <v>2208</v>
      </c>
      <c r="S953" s="3066" t="s">
        <v>3567</v>
      </c>
      <c r="T953" s="3066">
        <v>20</v>
      </c>
      <c r="U953" s="3066">
        <v>660</v>
      </c>
      <c r="V953" s="3066" t="s">
        <v>3560</v>
      </c>
      <c r="W953" s="3066" t="s">
        <v>3568</v>
      </c>
      <c r="X953" s="3066">
        <v>2.2999999999999998</v>
      </c>
      <c r="Y953" s="3066">
        <v>912</v>
      </c>
      <c r="Z953" s="3066" t="s">
        <v>3568</v>
      </c>
      <c r="AA953" s="3066" t="s">
        <v>3560</v>
      </c>
      <c r="AB953" s="3066" t="s">
        <v>3584</v>
      </c>
      <c r="AC953" s="3066" t="s">
        <v>3584</v>
      </c>
      <c r="AD953" s="3066" t="s">
        <v>3584</v>
      </c>
      <c r="AE953" s="3066" t="s">
        <v>3560</v>
      </c>
      <c r="AF953" s="3067">
        <v>660</v>
      </c>
      <c r="AG953" s="3066">
        <v>660</v>
      </c>
      <c r="AH953" s="3066">
        <v>76</v>
      </c>
      <c r="AI953" s="3066">
        <v>76</v>
      </c>
      <c r="AJ953" s="3066">
        <v>18.96</v>
      </c>
      <c r="AK953" s="3066">
        <v>18.96</v>
      </c>
      <c r="AL953" s="3066">
        <v>754.96</v>
      </c>
      <c r="AM953" s="3066">
        <v>754.96</v>
      </c>
      <c r="AN953" s="3066" t="s">
        <v>3560</v>
      </c>
      <c r="AP953" s="3068">
        <f t="shared" si="14"/>
        <v>20</v>
      </c>
    </row>
    <row r="954" spans="2:42" ht="27" customHeight="1">
      <c r="B954" s="3066">
        <v>962</v>
      </c>
      <c r="C954" s="3066" t="s">
        <v>6441</v>
      </c>
      <c r="D954" s="3066" t="s">
        <v>3915</v>
      </c>
      <c r="E954" s="3066" t="s">
        <v>6506</v>
      </c>
      <c r="F954" s="3066" t="s">
        <v>3917</v>
      </c>
      <c r="G954" s="3066" t="s">
        <v>4312</v>
      </c>
      <c r="H954" s="3066" t="s">
        <v>3560</v>
      </c>
      <c r="I954" s="3066" t="s">
        <v>6507</v>
      </c>
      <c r="J954" s="3066" t="s">
        <v>6507</v>
      </c>
      <c r="K954" s="3066" t="s">
        <v>3560</v>
      </c>
      <c r="L954" s="3066" t="s">
        <v>6508</v>
      </c>
      <c r="M954" s="3066" t="s">
        <v>6509</v>
      </c>
      <c r="N954" s="3066">
        <v>33</v>
      </c>
      <c r="O954" s="3066" t="s">
        <v>4008</v>
      </c>
      <c r="P954" s="3066" t="s">
        <v>3566</v>
      </c>
      <c r="Q954" s="3066">
        <v>1</v>
      </c>
      <c r="R954" s="3066">
        <v>3350</v>
      </c>
      <c r="S954" s="3066" t="s">
        <v>3567</v>
      </c>
      <c r="T954" s="3066">
        <v>20</v>
      </c>
      <c r="U954" s="3066">
        <v>660</v>
      </c>
      <c r="V954" s="3066" t="s">
        <v>3560</v>
      </c>
      <c r="W954" s="3066" t="s">
        <v>3568</v>
      </c>
      <c r="X954" s="3066">
        <v>2.2999999999999998</v>
      </c>
      <c r="Y954" s="3066">
        <v>912</v>
      </c>
      <c r="Z954" s="3066" t="s">
        <v>3568</v>
      </c>
      <c r="AA954" s="3066" t="s">
        <v>3560</v>
      </c>
      <c r="AB954" s="3066" t="s">
        <v>3692</v>
      </c>
      <c r="AC954" s="3066" t="s">
        <v>3692</v>
      </c>
      <c r="AD954" s="3066" t="s">
        <v>3692</v>
      </c>
      <c r="AE954" s="3066" t="s">
        <v>3560</v>
      </c>
      <c r="AF954" s="3067">
        <v>1320</v>
      </c>
      <c r="AG954" s="3066">
        <v>1320</v>
      </c>
      <c r="AH954" s="3066">
        <v>152</v>
      </c>
      <c r="AI954" s="3066">
        <v>152</v>
      </c>
      <c r="AJ954" s="3066">
        <v>174.14</v>
      </c>
      <c r="AK954" s="3066">
        <v>97.05</v>
      </c>
      <c r="AL954" s="3066">
        <v>1646.14</v>
      </c>
      <c r="AM954" s="3066">
        <v>1569.05</v>
      </c>
      <c r="AN954" s="3066" t="s">
        <v>3560</v>
      </c>
      <c r="AP954" s="3068">
        <f t="shared" si="14"/>
        <v>40</v>
      </c>
    </row>
    <row r="955" spans="2:42" ht="27" customHeight="1">
      <c r="B955" s="3066">
        <v>963</v>
      </c>
      <c r="C955" s="3066" t="s">
        <v>6441</v>
      </c>
      <c r="D955" s="3066" t="s">
        <v>3915</v>
      </c>
      <c r="E955" s="3066" t="s">
        <v>6510</v>
      </c>
      <c r="F955" s="3066" t="s">
        <v>3917</v>
      </c>
      <c r="G955" s="3066" t="s">
        <v>1373</v>
      </c>
      <c r="H955" s="3066" t="s">
        <v>3560</v>
      </c>
      <c r="I955" s="3066" t="s">
        <v>6511</v>
      </c>
      <c r="J955" s="3066" t="s">
        <v>3560</v>
      </c>
      <c r="K955" s="3066" t="s">
        <v>3560</v>
      </c>
      <c r="L955" s="3066" t="s">
        <v>6512</v>
      </c>
      <c r="M955" s="3066" t="s">
        <v>6513</v>
      </c>
      <c r="N955" s="3066">
        <v>33</v>
      </c>
      <c r="O955" s="3066" t="s">
        <v>3676</v>
      </c>
      <c r="P955" s="3066" t="s">
        <v>3566</v>
      </c>
      <c r="Q955" s="3066">
        <v>1</v>
      </c>
      <c r="R955" s="3066">
        <v>2965</v>
      </c>
      <c r="S955" s="3066" t="s">
        <v>3567</v>
      </c>
      <c r="T955" s="3066">
        <v>20</v>
      </c>
      <c r="U955" s="3066">
        <v>660</v>
      </c>
      <c r="V955" s="3066" t="s">
        <v>3560</v>
      </c>
      <c r="W955" s="3066" t="s">
        <v>3568</v>
      </c>
      <c r="X955" s="3066">
        <v>2.2999999999999998</v>
      </c>
      <c r="Y955" s="3066">
        <v>912</v>
      </c>
      <c r="Z955" s="3066" t="s">
        <v>3568</v>
      </c>
      <c r="AA955" s="3066" t="s">
        <v>3560</v>
      </c>
      <c r="AB955" s="3066" t="s">
        <v>3677</v>
      </c>
      <c r="AC955" s="3066" t="s">
        <v>3677</v>
      </c>
      <c r="AD955" s="3066" t="s">
        <v>3677</v>
      </c>
      <c r="AE955" s="3066" t="s">
        <v>3560</v>
      </c>
      <c r="AF955" s="3067">
        <v>660</v>
      </c>
      <c r="AG955" s="3066">
        <v>660</v>
      </c>
      <c r="AH955" s="3066">
        <v>76</v>
      </c>
      <c r="AI955" s="3066">
        <v>76</v>
      </c>
      <c r="AJ955" s="3066">
        <v>67.650000000000006</v>
      </c>
      <c r="AK955" s="3066">
        <v>67.650000000000006</v>
      </c>
      <c r="AL955" s="3066">
        <v>803.65</v>
      </c>
      <c r="AM955" s="3066">
        <v>803.65</v>
      </c>
      <c r="AN955" s="3066" t="s">
        <v>3560</v>
      </c>
      <c r="AP955" s="3068">
        <f t="shared" si="14"/>
        <v>20</v>
      </c>
    </row>
    <row r="956" spans="2:42" ht="27" customHeight="1">
      <c r="B956" s="3066">
        <v>964</v>
      </c>
      <c r="C956" s="3066" t="s">
        <v>6441</v>
      </c>
      <c r="D956" s="3066" t="s">
        <v>3915</v>
      </c>
      <c r="E956" s="3066" t="s">
        <v>6514</v>
      </c>
      <c r="F956" s="3066" t="s">
        <v>3917</v>
      </c>
      <c r="G956" s="3066" t="s">
        <v>1373</v>
      </c>
      <c r="H956" s="3066" t="s">
        <v>3560</v>
      </c>
      <c r="I956" s="3066" t="s">
        <v>6515</v>
      </c>
      <c r="J956" s="3066" t="s">
        <v>6516</v>
      </c>
      <c r="K956" s="3066" t="s">
        <v>3560</v>
      </c>
      <c r="L956" s="3066" t="s">
        <v>6517</v>
      </c>
      <c r="M956" s="3066" t="s">
        <v>6518</v>
      </c>
      <c r="N956" s="3066">
        <v>33</v>
      </c>
      <c r="O956" s="3066" t="s">
        <v>4969</v>
      </c>
      <c r="P956" s="3066" t="s">
        <v>3566</v>
      </c>
      <c r="Q956" s="3066">
        <v>0</v>
      </c>
      <c r="R956" s="3066">
        <v>3680</v>
      </c>
      <c r="S956" s="3066" t="s">
        <v>3567</v>
      </c>
      <c r="T956" s="3066">
        <v>20</v>
      </c>
      <c r="U956" s="3066">
        <v>660</v>
      </c>
      <c r="V956" s="3066" t="s">
        <v>3560</v>
      </c>
      <c r="W956" s="3066" t="s">
        <v>3568</v>
      </c>
      <c r="X956" s="3066">
        <v>2.2999999999999998</v>
      </c>
      <c r="Y956" s="3066">
        <v>912</v>
      </c>
      <c r="Z956" s="3066" t="s">
        <v>3568</v>
      </c>
      <c r="AA956" s="3066" t="s">
        <v>3560</v>
      </c>
      <c r="AB956" s="3066" t="s">
        <v>3584</v>
      </c>
      <c r="AC956" s="3066" t="s">
        <v>3584</v>
      </c>
      <c r="AD956" s="3066" t="s">
        <v>3584</v>
      </c>
      <c r="AE956" s="3066" t="s">
        <v>3560</v>
      </c>
      <c r="AF956" s="3067">
        <v>0</v>
      </c>
      <c r="AG956" s="3066">
        <v>0</v>
      </c>
      <c r="AH956" s="3066">
        <v>0</v>
      </c>
      <c r="AI956" s="3066">
        <v>0</v>
      </c>
      <c r="AJ956" s="3066">
        <v>42.66</v>
      </c>
      <c r="AK956" s="3066">
        <v>0</v>
      </c>
      <c r="AL956" s="3066">
        <v>42.66</v>
      </c>
      <c r="AM956" s="3066">
        <v>0</v>
      </c>
      <c r="AN956" s="3066" t="s">
        <v>3560</v>
      </c>
      <c r="AP956" s="3068">
        <f t="shared" si="14"/>
        <v>0</v>
      </c>
    </row>
    <row r="957" spans="2:42" ht="27" customHeight="1">
      <c r="B957" s="3066">
        <v>965</v>
      </c>
      <c r="C957" s="3066" t="s">
        <v>6441</v>
      </c>
      <c r="D957" s="3066" t="s">
        <v>4003</v>
      </c>
      <c r="E957" s="3066" t="s">
        <v>6519</v>
      </c>
      <c r="F957" s="3066" t="s">
        <v>3917</v>
      </c>
      <c r="G957" s="3066" t="s">
        <v>3560</v>
      </c>
      <c r="H957" s="3066" t="s">
        <v>3560</v>
      </c>
      <c r="I957" s="3066" t="s">
        <v>6520</v>
      </c>
      <c r="J957" s="3066" t="s">
        <v>6520</v>
      </c>
      <c r="K957" s="3066" t="s">
        <v>3560</v>
      </c>
      <c r="L957" s="3066" t="s">
        <v>6521</v>
      </c>
      <c r="M957" s="3066" t="s">
        <v>6522</v>
      </c>
      <c r="N957" s="3066">
        <v>33</v>
      </c>
      <c r="O957" s="3066" t="s">
        <v>4560</v>
      </c>
      <c r="P957" s="3066" t="s">
        <v>3566</v>
      </c>
      <c r="Q957" s="3066">
        <v>0</v>
      </c>
      <c r="R957" s="3066">
        <v>3680</v>
      </c>
      <c r="S957" s="3066" t="s">
        <v>3567</v>
      </c>
      <c r="T957" s="3066">
        <v>20</v>
      </c>
      <c r="U957" s="3066">
        <v>660</v>
      </c>
      <c r="V957" s="3066" t="s">
        <v>3560</v>
      </c>
      <c r="W957" s="3066" t="s">
        <v>3568</v>
      </c>
      <c r="X957" s="3066">
        <v>2.2999999999999998</v>
      </c>
      <c r="Y957" s="3066">
        <v>912</v>
      </c>
      <c r="Z957" s="3066" t="s">
        <v>3568</v>
      </c>
      <c r="AA957" s="3066" t="s">
        <v>3560</v>
      </c>
      <c r="AB957" s="3066" t="s">
        <v>3591</v>
      </c>
      <c r="AC957" s="3066" t="s">
        <v>3591</v>
      </c>
      <c r="AD957" s="3066" t="s">
        <v>3591</v>
      </c>
      <c r="AE957" s="3066" t="s">
        <v>3560</v>
      </c>
      <c r="AF957" s="3067">
        <v>660</v>
      </c>
      <c r="AG957" s="3066">
        <v>660</v>
      </c>
      <c r="AH957" s="3066">
        <v>76</v>
      </c>
      <c r="AI957" s="3066">
        <v>76</v>
      </c>
      <c r="AJ957" s="3066">
        <v>78.27</v>
      </c>
      <c r="AK957" s="3066">
        <v>78.27</v>
      </c>
      <c r="AL957" s="3066">
        <v>814.27</v>
      </c>
      <c r="AM957" s="3066">
        <v>814.27</v>
      </c>
      <c r="AN957" s="3066" t="s">
        <v>3560</v>
      </c>
      <c r="AP957" s="3068">
        <f t="shared" si="14"/>
        <v>20</v>
      </c>
    </row>
    <row r="958" spans="2:42" ht="27" customHeight="1">
      <c r="B958" s="3066">
        <v>966</v>
      </c>
      <c r="C958" s="3066" t="s">
        <v>6441</v>
      </c>
      <c r="D958" s="3066" t="s">
        <v>4003</v>
      </c>
      <c r="E958" s="3066" t="s">
        <v>6523</v>
      </c>
      <c r="F958" s="3066" t="s">
        <v>3917</v>
      </c>
      <c r="G958" s="3066" t="s">
        <v>3560</v>
      </c>
      <c r="H958" s="3066" t="s">
        <v>3560</v>
      </c>
      <c r="I958" s="3066" t="s">
        <v>6524</v>
      </c>
      <c r="J958" s="3066" t="s">
        <v>6524</v>
      </c>
      <c r="K958" s="3066" t="s">
        <v>3560</v>
      </c>
      <c r="L958" s="3066" t="s">
        <v>6525</v>
      </c>
      <c r="M958" s="3066" t="s">
        <v>6526</v>
      </c>
      <c r="N958" s="3066">
        <v>33</v>
      </c>
      <c r="O958" s="3066" t="s">
        <v>3619</v>
      </c>
      <c r="P958" s="3066" t="s">
        <v>3566</v>
      </c>
      <c r="Q958" s="3066">
        <v>1</v>
      </c>
      <c r="R958" s="3066">
        <v>3845</v>
      </c>
      <c r="S958" s="3066" t="s">
        <v>3567</v>
      </c>
      <c r="T958" s="3066">
        <v>21</v>
      </c>
      <c r="U958" s="3066">
        <v>693</v>
      </c>
      <c r="V958" s="3066" t="s">
        <v>3560</v>
      </c>
      <c r="W958" s="3066" t="s">
        <v>3568</v>
      </c>
      <c r="X958" s="3066">
        <v>2.2999999999999998</v>
      </c>
      <c r="Y958" s="3066">
        <v>912</v>
      </c>
      <c r="Z958" s="3066" t="s">
        <v>3568</v>
      </c>
      <c r="AA958" s="3066" t="s">
        <v>3560</v>
      </c>
      <c r="AB958" s="3066" t="s">
        <v>3584</v>
      </c>
      <c r="AC958" s="3066" t="s">
        <v>3584</v>
      </c>
      <c r="AD958" s="3066" t="s">
        <v>3584</v>
      </c>
      <c r="AE958" s="3066" t="s">
        <v>3560</v>
      </c>
      <c r="AF958" s="3067">
        <v>693</v>
      </c>
      <c r="AG958" s="3066">
        <v>0</v>
      </c>
      <c r="AH958" s="3066">
        <v>76</v>
      </c>
      <c r="AI958" s="3066">
        <v>0</v>
      </c>
      <c r="AJ958" s="3066">
        <v>71.22</v>
      </c>
      <c r="AK958" s="3066">
        <v>0</v>
      </c>
      <c r="AL958" s="3066">
        <v>840.22</v>
      </c>
      <c r="AM958" s="3066">
        <v>0</v>
      </c>
      <c r="AN958" s="3066" t="s">
        <v>3560</v>
      </c>
      <c r="AP958" s="3068">
        <f t="shared" si="14"/>
        <v>21</v>
      </c>
    </row>
    <row r="959" spans="2:42" ht="27" customHeight="1">
      <c r="B959" s="3066">
        <v>967</v>
      </c>
      <c r="C959" s="3066" t="s">
        <v>6441</v>
      </c>
      <c r="D959" s="3066" t="s">
        <v>4019</v>
      </c>
      <c r="E959" s="3066" t="s">
        <v>6527</v>
      </c>
      <c r="F959" s="3066" t="s">
        <v>3917</v>
      </c>
      <c r="G959" s="3066" t="s">
        <v>3560</v>
      </c>
      <c r="H959" s="3066" t="s">
        <v>3560</v>
      </c>
      <c r="I959" s="3066" t="s">
        <v>4779</v>
      </c>
      <c r="J959" s="3066" t="s">
        <v>3560</v>
      </c>
      <c r="K959" s="3066" t="s">
        <v>3560</v>
      </c>
      <c r="L959" s="3066" t="s">
        <v>4780</v>
      </c>
      <c r="M959" s="3066" t="s">
        <v>6528</v>
      </c>
      <c r="N959" s="3066">
        <v>33</v>
      </c>
      <c r="O959" s="3066" t="s">
        <v>5211</v>
      </c>
      <c r="P959" s="3066" t="s">
        <v>3566</v>
      </c>
      <c r="Q959" s="3066">
        <v>1</v>
      </c>
      <c r="R959" s="3066">
        <v>3845</v>
      </c>
      <c r="S959" s="3066" t="s">
        <v>3567</v>
      </c>
      <c r="T959" s="3066">
        <v>21</v>
      </c>
      <c r="U959" s="3066">
        <v>693</v>
      </c>
      <c r="V959" s="3066" t="s">
        <v>3560</v>
      </c>
      <c r="W959" s="3066" t="s">
        <v>3568</v>
      </c>
      <c r="X959" s="3066">
        <v>2.2999999999999998</v>
      </c>
      <c r="Y959" s="3066">
        <v>912</v>
      </c>
      <c r="Z959" s="3066" t="s">
        <v>3568</v>
      </c>
      <c r="AA959" s="3066" t="s">
        <v>3560</v>
      </c>
      <c r="AB959" s="3066" t="s">
        <v>3943</v>
      </c>
      <c r="AC959" s="3066" t="s">
        <v>3943</v>
      </c>
      <c r="AD959" s="3066" t="s">
        <v>3943</v>
      </c>
      <c r="AE959" s="3066" t="s">
        <v>3560</v>
      </c>
      <c r="AF959" s="3067">
        <v>0</v>
      </c>
      <c r="AG959" s="3066">
        <v>0</v>
      </c>
      <c r="AH959" s="3066">
        <v>0</v>
      </c>
      <c r="AI959" s="3066">
        <v>0</v>
      </c>
      <c r="AJ959" s="3066">
        <v>0</v>
      </c>
      <c r="AK959" s="3066">
        <v>0</v>
      </c>
      <c r="AL959" s="3066">
        <v>0</v>
      </c>
      <c r="AM959" s="3066">
        <v>0</v>
      </c>
      <c r="AN959" s="3066" t="s">
        <v>3560</v>
      </c>
      <c r="AP959" s="3068">
        <f t="shared" si="14"/>
        <v>0</v>
      </c>
    </row>
    <row r="960" spans="2:42" ht="27" customHeight="1">
      <c r="B960" s="3066">
        <v>968</v>
      </c>
      <c r="C960" s="3066" t="s">
        <v>6441</v>
      </c>
      <c r="D960" s="3066" t="s">
        <v>5423</v>
      </c>
      <c r="E960" s="3066" t="s">
        <v>6529</v>
      </c>
      <c r="F960" s="3066" t="s">
        <v>3917</v>
      </c>
      <c r="G960" s="3066" t="s">
        <v>1373</v>
      </c>
      <c r="H960" s="3066" t="s">
        <v>3560</v>
      </c>
      <c r="I960" s="3066" t="s">
        <v>3766</v>
      </c>
      <c r="J960" s="3066" t="s">
        <v>3767</v>
      </c>
      <c r="K960" s="3066" t="s">
        <v>3560</v>
      </c>
      <c r="L960" s="3066" t="s">
        <v>3768</v>
      </c>
      <c r="M960" s="3066" t="s">
        <v>6530</v>
      </c>
      <c r="N960" s="3066">
        <v>332.7</v>
      </c>
      <c r="O960" s="3066" t="s">
        <v>3619</v>
      </c>
      <c r="P960" s="3066" t="s">
        <v>3566</v>
      </c>
      <c r="Q960" s="3066">
        <v>1</v>
      </c>
      <c r="R960" s="3066">
        <v>7963.02</v>
      </c>
      <c r="S960" s="3066" t="s">
        <v>3567</v>
      </c>
      <c r="T960" s="3066">
        <v>20</v>
      </c>
      <c r="U960" s="3066">
        <v>6654</v>
      </c>
      <c r="V960" s="3066" t="s">
        <v>3560</v>
      </c>
      <c r="W960" s="3066" t="s">
        <v>3568</v>
      </c>
      <c r="X960" s="3066">
        <v>2</v>
      </c>
      <c r="Y960" s="3066">
        <v>7984.8</v>
      </c>
      <c r="Z960" s="3066" t="s">
        <v>3568</v>
      </c>
      <c r="AA960" s="3066" t="s">
        <v>3560</v>
      </c>
      <c r="AB960" s="3066" t="s">
        <v>3584</v>
      </c>
      <c r="AC960" s="3066" t="s">
        <v>3584</v>
      </c>
      <c r="AD960" s="3066" t="s">
        <v>3584</v>
      </c>
      <c r="AE960" s="3066" t="s">
        <v>3560</v>
      </c>
      <c r="AF960" s="3067">
        <v>6654</v>
      </c>
      <c r="AG960" s="3066">
        <v>0</v>
      </c>
      <c r="AH960" s="3066">
        <v>665.4</v>
      </c>
      <c r="AI960" s="3066">
        <v>0</v>
      </c>
      <c r="AJ960" s="3066">
        <v>1285.01</v>
      </c>
      <c r="AK960" s="3066">
        <v>0</v>
      </c>
      <c r="AL960" s="3066">
        <v>8604.41</v>
      </c>
      <c r="AM960" s="3066">
        <v>0</v>
      </c>
      <c r="AN960" s="3066" t="s">
        <v>3560</v>
      </c>
      <c r="AP960" s="3068">
        <f t="shared" si="14"/>
        <v>20</v>
      </c>
    </row>
    <row r="961" spans="2:42" ht="27" customHeight="1">
      <c r="B961" s="3066">
        <v>969</v>
      </c>
      <c r="C961" s="3066" t="s">
        <v>6441</v>
      </c>
      <c r="D961" s="3066" t="s">
        <v>3972</v>
      </c>
      <c r="E961" s="3066" t="s">
        <v>6531</v>
      </c>
      <c r="F961" s="3066" t="s">
        <v>3917</v>
      </c>
      <c r="G961" s="3066" t="s">
        <v>4312</v>
      </c>
      <c r="H961" s="3066" t="s">
        <v>3560</v>
      </c>
      <c r="I961" s="3066" t="s">
        <v>6532</v>
      </c>
      <c r="J961" s="3066" t="s">
        <v>6533</v>
      </c>
      <c r="K961" s="3066" t="s">
        <v>3560</v>
      </c>
      <c r="L961" s="3066" t="s">
        <v>6534</v>
      </c>
      <c r="M961" s="3066" t="s">
        <v>6535</v>
      </c>
      <c r="N961" s="3066">
        <v>35.700000000000003</v>
      </c>
      <c r="O961" s="3066" t="s">
        <v>3992</v>
      </c>
      <c r="P961" s="3066" t="s">
        <v>3566</v>
      </c>
      <c r="Q961" s="3066">
        <v>0</v>
      </c>
      <c r="R961" s="3066">
        <v>4740.3</v>
      </c>
      <c r="S961" s="3066" t="s">
        <v>3567</v>
      </c>
      <c r="T961" s="3066">
        <v>21</v>
      </c>
      <c r="U961" s="3066">
        <v>749.7</v>
      </c>
      <c r="V961" s="3066" t="s">
        <v>3560</v>
      </c>
      <c r="W961" s="3066" t="s">
        <v>3568</v>
      </c>
      <c r="X961" s="3066">
        <v>2</v>
      </c>
      <c r="Y961" s="3066">
        <v>856.8</v>
      </c>
      <c r="Z961" s="3066" t="s">
        <v>3568</v>
      </c>
      <c r="AA961" s="3066" t="s">
        <v>3560</v>
      </c>
      <c r="AB961" s="3066" t="s">
        <v>3993</v>
      </c>
      <c r="AC961" s="3066" t="s">
        <v>3993</v>
      </c>
      <c r="AD961" s="3066" t="s">
        <v>3993</v>
      </c>
      <c r="AE961" s="3066" t="s">
        <v>3560</v>
      </c>
      <c r="AF961" s="3067">
        <v>1136.6400000000001</v>
      </c>
      <c r="AG961" s="3066">
        <v>1136.6400000000001</v>
      </c>
      <c r="AH961" s="3066">
        <v>108.25</v>
      </c>
      <c r="AI961" s="3066">
        <v>108.25</v>
      </c>
      <c r="AJ961" s="3066">
        <v>225.06</v>
      </c>
      <c r="AK961" s="3066">
        <v>225.06</v>
      </c>
      <c r="AL961" s="3066">
        <v>1469.95</v>
      </c>
      <c r="AM961" s="3066">
        <v>1469.95</v>
      </c>
      <c r="AN961" s="3066" t="s">
        <v>3560</v>
      </c>
      <c r="AP961" s="3068">
        <f t="shared" si="14"/>
        <v>31.838655462184875</v>
      </c>
    </row>
    <row r="962" spans="2:42" ht="27" customHeight="1">
      <c r="B962" s="3066">
        <v>970</v>
      </c>
      <c r="C962" s="3066" t="s">
        <v>6441</v>
      </c>
      <c r="D962" s="3066" t="s">
        <v>3972</v>
      </c>
      <c r="E962" s="3066" t="s">
        <v>6536</v>
      </c>
      <c r="F962" s="3066" t="s">
        <v>3917</v>
      </c>
      <c r="G962" s="3066" t="s">
        <v>1373</v>
      </c>
      <c r="H962" s="3066" t="s">
        <v>3560</v>
      </c>
      <c r="I962" s="3066" t="s">
        <v>6537</v>
      </c>
      <c r="J962" s="3066" t="s">
        <v>3560</v>
      </c>
      <c r="K962" s="3066" t="s">
        <v>3560</v>
      </c>
      <c r="L962" s="3066" t="s">
        <v>6538</v>
      </c>
      <c r="M962" s="3066" t="s">
        <v>6539</v>
      </c>
      <c r="N962" s="3066">
        <v>33</v>
      </c>
      <c r="O962" s="3066" t="s">
        <v>3676</v>
      </c>
      <c r="P962" s="3066" t="s">
        <v>3566</v>
      </c>
      <c r="Q962" s="3066">
        <v>1</v>
      </c>
      <c r="R962" s="3066">
        <v>4010</v>
      </c>
      <c r="S962" s="3066" t="s">
        <v>3567</v>
      </c>
      <c r="T962" s="3066">
        <v>20</v>
      </c>
      <c r="U962" s="3066">
        <v>660</v>
      </c>
      <c r="V962" s="3066" t="s">
        <v>3560</v>
      </c>
      <c r="W962" s="3066" t="s">
        <v>3568</v>
      </c>
      <c r="X962" s="3066">
        <v>2.2999999999999998</v>
      </c>
      <c r="Y962" s="3066">
        <v>912</v>
      </c>
      <c r="Z962" s="3066" t="s">
        <v>3568</v>
      </c>
      <c r="AA962" s="3066" t="s">
        <v>3560</v>
      </c>
      <c r="AB962" s="3066" t="s">
        <v>3677</v>
      </c>
      <c r="AC962" s="3066" t="s">
        <v>3677</v>
      </c>
      <c r="AD962" s="3066" t="s">
        <v>3677</v>
      </c>
      <c r="AE962" s="3066" t="s">
        <v>3560</v>
      </c>
      <c r="AF962" s="3067">
        <v>660</v>
      </c>
      <c r="AG962" s="3066">
        <v>660</v>
      </c>
      <c r="AH962" s="3066">
        <v>76</v>
      </c>
      <c r="AI962" s="3066">
        <v>76</v>
      </c>
      <c r="AJ962" s="3066">
        <v>14.28</v>
      </c>
      <c r="AK962" s="3066">
        <v>14.28</v>
      </c>
      <c r="AL962" s="3066">
        <v>750.28</v>
      </c>
      <c r="AM962" s="3066">
        <v>750.28</v>
      </c>
      <c r="AN962" s="3066" t="s">
        <v>3560</v>
      </c>
      <c r="AP962" s="3068">
        <f t="shared" si="14"/>
        <v>20</v>
      </c>
    </row>
    <row r="963" spans="2:42" ht="27" customHeight="1">
      <c r="B963" s="3066">
        <v>971</v>
      </c>
      <c r="C963" s="3066" t="s">
        <v>6441</v>
      </c>
      <c r="D963" s="3066" t="s">
        <v>3972</v>
      </c>
      <c r="E963" s="3066" t="s">
        <v>6540</v>
      </c>
      <c r="F963" s="3066" t="s">
        <v>3917</v>
      </c>
      <c r="G963" s="3066" t="s">
        <v>1373</v>
      </c>
      <c r="H963" s="3066" t="s">
        <v>3560</v>
      </c>
      <c r="I963" s="3066" t="s">
        <v>6541</v>
      </c>
      <c r="J963" s="3066" t="s">
        <v>3560</v>
      </c>
      <c r="K963" s="3066" t="s">
        <v>3560</v>
      </c>
      <c r="L963" s="3066" t="s">
        <v>6542</v>
      </c>
      <c r="M963" s="3066" t="s">
        <v>6543</v>
      </c>
      <c r="N963" s="3066">
        <v>33</v>
      </c>
      <c r="O963" s="3066" t="s">
        <v>4488</v>
      </c>
      <c r="P963" s="3066" t="s">
        <v>3566</v>
      </c>
      <c r="Q963" s="3066">
        <v>1</v>
      </c>
      <c r="R963" s="3066">
        <v>3765</v>
      </c>
      <c r="S963" s="3066" t="s">
        <v>3567</v>
      </c>
      <c r="T963" s="3066">
        <v>20</v>
      </c>
      <c r="U963" s="3066">
        <v>660</v>
      </c>
      <c r="V963" s="3066" t="s">
        <v>3560</v>
      </c>
      <c r="W963" s="3066" t="s">
        <v>3568</v>
      </c>
      <c r="X963" s="3066">
        <v>2.2999999999999998</v>
      </c>
      <c r="Y963" s="3066">
        <v>912</v>
      </c>
      <c r="Z963" s="3066" t="s">
        <v>3568</v>
      </c>
      <c r="AA963" s="3066" t="s">
        <v>3560</v>
      </c>
      <c r="AB963" s="3066" t="s">
        <v>4489</v>
      </c>
      <c r="AC963" s="3066" t="s">
        <v>4489</v>
      </c>
      <c r="AD963" s="3066" t="s">
        <v>4489</v>
      </c>
      <c r="AE963" s="3066" t="s">
        <v>3560</v>
      </c>
      <c r="AF963" s="3067">
        <v>660</v>
      </c>
      <c r="AG963" s="3066">
        <v>660</v>
      </c>
      <c r="AH963" s="3066">
        <v>76</v>
      </c>
      <c r="AI963" s="3066">
        <v>76</v>
      </c>
      <c r="AJ963" s="3066">
        <v>16.66</v>
      </c>
      <c r="AK963" s="3066">
        <v>16.66</v>
      </c>
      <c r="AL963" s="3066">
        <v>752.66</v>
      </c>
      <c r="AM963" s="3066">
        <v>752.66</v>
      </c>
      <c r="AN963" s="3066" t="s">
        <v>3560</v>
      </c>
      <c r="AP963" s="3068">
        <f t="shared" si="14"/>
        <v>20</v>
      </c>
    </row>
    <row r="964" spans="2:42" ht="27" customHeight="1">
      <c r="B964" s="3066">
        <v>972</v>
      </c>
      <c r="C964" s="3066" t="s">
        <v>6441</v>
      </c>
      <c r="D964" s="3066" t="s">
        <v>3972</v>
      </c>
      <c r="E964" s="3066" t="s">
        <v>6544</v>
      </c>
      <c r="F964" s="3066" t="s">
        <v>3917</v>
      </c>
      <c r="G964" s="3066" t="s">
        <v>1373</v>
      </c>
      <c r="H964" s="3066" t="s">
        <v>3560</v>
      </c>
      <c r="I964" s="3066" t="s">
        <v>6545</v>
      </c>
      <c r="J964" s="3066" t="s">
        <v>3560</v>
      </c>
      <c r="K964" s="3066" t="s">
        <v>3560</v>
      </c>
      <c r="L964" s="3066" t="s">
        <v>6546</v>
      </c>
      <c r="M964" s="3066" t="s">
        <v>6547</v>
      </c>
      <c r="N964" s="3066">
        <v>33</v>
      </c>
      <c r="O964" s="3066" t="s">
        <v>3931</v>
      </c>
      <c r="P964" s="3066" t="s">
        <v>3566</v>
      </c>
      <c r="Q964" s="3066">
        <v>1</v>
      </c>
      <c r="R964" s="3066">
        <v>3680</v>
      </c>
      <c r="S964" s="3066" t="s">
        <v>3567</v>
      </c>
      <c r="T964" s="3066">
        <v>20</v>
      </c>
      <c r="U964" s="3066">
        <v>660</v>
      </c>
      <c r="V964" s="3066" t="s">
        <v>3560</v>
      </c>
      <c r="W964" s="3066" t="s">
        <v>3568</v>
      </c>
      <c r="X964" s="3066">
        <v>2.2999999999999998</v>
      </c>
      <c r="Y964" s="3066">
        <v>912</v>
      </c>
      <c r="Z964" s="3066" t="s">
        <v>3568</v>
      </c>
      <c r="AA964" s="3066" t="s">
        <v>3560</v>
      </c>
      <c r="AB964" s="3066" t="s">
        <v>3932</v>
      </c>
      <c r="AC964" s="3066" t="s">
        <v>3932</v>
      </c>
      <c r="AD964" s="3066" t="s">
        <v>3932</v>
      </c>
      <c r="AE964" s="3066" t="s">
        <v>3560</v>
      </c>
      <c r="AF964" s="3067">
        <v>660</v>
      </c>
      <c r="AG964" s="3066">
        <v>660</v>
      </c>
      <c r="AH964" s="3066">
        <v>76</v>
      </c>
      <c r="AI964" s="3066">
        <v>76</v>
      </c>
      <c r="AJ964" s="3066">
        <v>49.8</v>
      </c>
      <c r="AK964" s="3066">
        <v>49.8</v>
      </c>
      <c r="AL964" s="3066">
        <v>785.8</v>
      </c>
      <c r="AM964" s="3066">
        <v>785.8</v>
      </c>
      <c r="AN964" s="3066" t="s">
        <v>3560</v>
      </c>
      <c r="AP964" s="3068">
        <f t="shared" ref="AP964:AP1018" si="15">AF964/N964</f>
        <v>20</v>
      </c>
    </row>
    <row r="965" spans="2:42" ht="27" customHeight="1">
      <c r="B965" s="3066">
        <v>973</v>
      </c>
      <c r="C965" s="3066" t="s">
        <v>6441</v>
      </c>
      <c r="D965" s="3066" t="s">
        <v>3972</v>
      </c>
      <c r="E965" s="3066" t="s">
        <v>6548</v>
      </c>
      <c r="F965" s="3066" t="s">
        <v>3917</v>
      </c>
      <c r="G965" s="3066" t="s">
        <v>1373</v>
      </c>
      <c r="H965" s="3066" t="s">
        <v>3560</v>
      </c>
      <c r="I965" s="3066" t="s">
        <v>3766</v>
      </c>
      <c r="J965" s="3066" t="s">
        <v>3767</v>
      </c>
      <c r="K965" s="3066" t="s">
        <v>3560</v>
      </c>
      <c r="L965" s="3066" t="s">
        <v>3768</v>
      </c>
      <c r="M965" s="3066" t="s">
        <v>6549</v>
      </c>
      <c r="N965" s="3066">
        <v>33</v>
      </c>
      <c r="O965" s="3066" t="s">
        <v>3931</v>
      </c>
      <c r="P965" s="3066" t="s">
        <v>3566</v>
      </c>
      <c r="Q965" s="3066">
        <v>1</v>
      </c>
      <c r="R965" s="3066">
        <v>2178</v>
      </c>
      <c r="S965" s="3066" t="s">
        <v>3567</v>
      </c>
      <c r="T965" s="3066">
        <v>20</v>
      </c>
      <c r="U965" s="3066">
        <v>660</v>
      </c>
      <c r="V965" s="3066" t="s">
        <v>3560</v>
      </c>
      <c r="W965" s="3066" t="s">
        <v>3568</v>
      </c>
      <c r="X965" s="3066">
        <v>2</v>
      </c>
      <c r="Y965" s="3066">
        <v>792</v>
      </c>
      <c r="Z965" s="3066" t="s">
        <v>3568</v>
      </c>
      <c r="AA965" s="3066" t="s">
        <v>3560</v>
      </c>
      <c r="AB965" s="3066" t="s">
        <v>3932</v>
      </c>
      <c r="AC965" s="3066" t="s">
        <v>3932</v>
      </c>
      <c r="AD965" s="3066" t="s">
        <v>3932</v>
      </c>
      <c r="AE965" s="3066" t="s">
        <v>3560</v>
      </c>
      <c r="AF965" s="3067">
        <v>660</v>
      </c>
      <c r="AG965" s="3066">
        <v>0</v>
      </c>
      <c r="AH965" s="3066">
        <v>66</v>
      </c>
      <c r="AI965" s="3066">
        <v>0</v>
      </c>
      <c r="AJ965" s="3066">
        <v>119.53</v>
      </c>
      <c r="AK965" s="3066">
        <v>0</v>
      </c>
      <c r="AL965" s="3066">
        <v>845.53</v>
      </c>
      <c r="AM965" s="3066">
        <v>0</v>
      </c>
      <c r="AN965" s="3066" t="s">
        <v>3560</v>
      </c>
      <c r="AP965" s="3068">
        <f t="shared" si="15"/>
        <v>20</v>
      </c>
    </row>
    <row r="966" spans="2:42" ht="27" customHeight="1">
      <c r="B966" s="3066">
        <v>974</v>
      </c>
      <c r="C966" s="3066" t="s">
        <v>6441</v>
      </c>
      <c r="D966" s="3066" t="s">
        <v>4003</v>
      </c>
      <c r="E966" s="3066" t="s">
        <v>6550</v>
      </c>
      <c r="F966" s="3066" t="s">
        <v>3917</v>
      </c>
      <c r="G966" s="3066" t="s">
        <v>1373</v>
      </c>
      <c r="H966" s="3066" t="s">
        <v>3560</v>
      </c>
      <c r="I966" s="3066" t="s">
        <v>3879</v>
      </c>
      <c r="J966" s="3066" t="s">
        <v>3880</v>
      </c>
      <c r="K966" s="3066" t="s">
        <v>3560</v>
      </c>
      <c r="L966" s="3066" t="s">
        <v>3881</v>
      </c>
      <c r="M966" s="3066" t="s">
        <v>6551</v>
      </c>
      <c r="N966" s="3066">
        <v>33</v>
      </c>
      <c r="O966" s="3066" t="s">
        <v>3919</v>
      </c>
      <c r="P966" s="3066" t="s">
        <v>3566</v>
      </c>
      <c r="Q966" s="3066">
        <v>1</v>
      </c>
      <c r="R966" s="3066">
        <v>2673</v>
      </c>
      <c r="S966" s="3066" t="s">
        <v>3567</v>
      </c>
      <c r="T966" s="3066">
        <v>20</v>
      </c>
      <c r="U966" s="3066">
        <v>660</v>
      </c>
      <c r="V966" s="3066" t="s">
        <v>3560</v>
      </c>
      <c r="W966" s="3066" t="s">
        <v>3568</v>
      </c>
      <c r="X966" s="3066">
        <v>2</v>
      </c>
      <c r="Y966" s="3066">
        <v>792</v>
      </c>
      <c r="Z966" s="3066" t="s">
        <v>3568</v>
      </c>
      <c r="AA966" s="3066" t="s">
        <v>3560</v>
      </c>
      <c r="AB966" s="3066" t="s">
        <v>3920</v>
      </c>
      <c r="AC966" s="3066" t="s">
        <v>3920</v>
      </c>
      <c r="AD966" s="3066" t="s">
        <v>3920</v>
      </c>
      <c r="AE966" s="3066" t="s">
        <v>3560</v>
      </c>
      <c r="AF966" s="3067">
        <v>660</v>
      </c>
      <c r="AG966" s="3066">
        <v>660</v>
      </c>
      <c r="AH966" s="3066">
        <v>66</v>
      </c>
      <c r="AI966" s="3066">
        <v>66</v>
      </c>
      <c r="AJ966" s="3066">
        <v>250.97</v>
      </c>
      <c r="AK966" s="3066">
        <v>250.97</v>
      </c>
      <c r="AL966" s="3066">
        <v>976.97</v>
      </c>
      <c r="AM966" s="3066">
        <v>976.97</v>
      </c>
      <c r="AN966" s="3066" t="s">
        <v>3560</v>
      </c>
      <c r="AP966" s="3068">
        <f t="shared" si="15"/>
        <v>20</v>
      </c>
    </row>
    <row r="967" spans="2:42" ht="27" customHeight="1">
      <c r="B967" s="3066">
        <v>975</v>
      </c>
      <c r="C967" s="3066" t="s">
        <v>6441</v>
      </c>
      <c r="D967" s="3066" t="s">
        <v>4003</v>
      </c>
      <c r="E967" s="3066" t="s">
        <v>6552</v>
      </c>
      <c r="F967" s="3066" t="s">
        <v>3917</v>
      </c>
      <c r="G967" s="3066" t="s">
        <v>1373</v>
      </c>
      <c r="H967" s="3066" t="s">
        <v>3560</v>
      </c>
      <c r="I967" s="3066" t="s">
        <v>3879</v>
      </c>
      <c r="J967" s="3066" t="s">
        <v>3880</v>
      </c>
      <c r="K967" s="3066" t="s">
        <v>3560</v>
      </c>
      <c r="L967" s="3066" t="s">
        <v>3881</v>
      </c>
      <c r="M967" s="3066" t="s">
        <v>6553</v>
      </c>
      <c r="N967" s="3066">
        <v>33</v>
      </c>
      <c r="O967" s="3066" t="s">
        <v>3919</v>
      </c>
      <c r="P967" s="3066" t="s">
        <v>3566</v>
      </c>
      <c r="Q967" s="3066">
        <v>1</v>
      </c>
      <c r="R967" s="3066">
        <v>0</v>
      </c>
      <c r="S967" s="3066" t="s">
        <v>3577</v>
      </c>
      <c r="T967" s="3066">
        <v>20</v>
      </c>
      <c r="U967" s="3066">
        <v>660</v>
      </c>
      <c r="V967" s="3066" t="s">
        <v>3560</v>
      </c>
      <c r="W967" s="3066" t="s">
        <v>3568</v>
      </c>
      <c r="X967" s="3066">
        <v>2</v>
      </c>
      <c r="Y967" s="3066">
        <v>792</v>
      </c>
      <c r="Z967" s="3066" t="s">
        <v>3568</v>
      </c>
      <c r="AA967" s="3066" t="s">
        <v>3560</v>
      </c>
      <c r="AB967" s="3066" t="s">
        <v>3920</v>
      </c>
      <c r="AC967" s="3066" t="s">
        <v>3920</v>
      </c>
      <c r="AD967" s="3066" t="s">
        <v>3920</v>
      </c>
      <c r="AE967" s="3066" t="s">
        <v>3560</v>
      </c>
      <c r="AF967" s="3067">
        <v>660</v>
      </c>
      <c r="AG967" s="3066">
        <v>660</v>
      </c>
      <c r="AH967" s="3066">
        <v>66</v>
      </c>
      <c r="AI967" s="3066">
        <v>66</v>
      </c>
      <c r="AJ967" s="3066">
        <v>119.83</v>
      </c>
      <c r="AK967" s="3066">
        <v>119.83</v>
      </c>
      <c r="AL967" s="3066">
        <v>845.83</v>
      </c>
      <c r="AM967" s="3066">
        <v>845.83</v>
      </c>
      <c r="AN967" s="3066" t="s">
        <v>3560</v>
      </c>
      <c r="AP967" s="3068">
        <f t="shared" si="15"/>
        <v>20</v>
      </c>
    </row>
    <row r="968" spans="2:42" ht="27" customHeight="1">
      <c r="B968" s="3066">
        <v>976</v>
      </c>
      <c r="C968" s="3066" t="s">
        <v>6441</v>
      </c>
      <c r="D968" s="3066" t="s">
        <v>4003</v>
      </c>
      <c r="E968" s="3066" t="s">
        <v>6554</v>
      </c>
      <c r="F968" s="3066" t="s">
        <v>3917</v>
      </c>
      <c r="G968" s="3066" t="s">
        <v>1373</v>
      </c>
      <c r="H968" s="3066" t="s">
        <v>3560</v>
      </c>
      <c r="I968" s="3066" t="s">
        <v>3879</v>
      </c>
      <c r="J968" s="3066" t="s">
        <v>3880</v>
      </c>
      <c r="K968" s="3066" t="s">
        <v>3560</v>
      </c>
      <c r="L968" s="3066" t="s">
        <v>3881</v>
      </c>
      <c r="M968" s="3066" t="s">
        <v>6555</v>
      </c>
      <c r="N968" s="3066">
        <v>33</v>
      </c>
      <c r="O968" s="3066" t="s">
        <v>3919</v>
      </c>
      <c r="P968" s="3066" t="s">
        <v>3566</v>
      </c>
      <c r="Q968" s="3066">
        <v>1</v>
      </c>
      <c r="R968" s="3066">
        <v>0</v>
      </c>
      <c r="S968" s="3066" t="s">
        <v>3577</v>
      </c>
      <c r="T968" s="3066">
        <v>20</v>
      </c>
      <c r="U968" s="3066">
        <v>660</v>
      </c>
      <c r="V968" s="3066" t="s">
        <v>3560</v>
      </c>
      <c r="W968" s="3066" t="s">
        <v>3568</v>
      </c>
      <c r="X968" s="3066">
        <v>2</v>
      </c>
      <c r="Y968" s="3066">
        <v>792</v>
      </c>
      <c r="Z968" s="3066" t="s">
        <v>3568</v>
      </c>
      <c r="AA968" s="3066" t="s">
        <v>3560</v>
      </c>
      <c r="AB968" s="3066" t="s">
        <v>3920</v>
      </c>
      <c r="AC968" s="3066" t="s">
        <v>3920</v>
      </c>
      <c r="AD968" s="3066" t="s">
        <v>3920</v>
      </c>
      <c r="AE968" s="3066" t="s">
        <v>3560</v>
      </c>
      <c r="AF968" s="3067">
        <v>660</v>
      </c>
      <c r="AG968" s="3066">
        <v>660</v>
      </c>
      <c r="AH968" s="3066">
        <v>66</v>
      </c>
      <c r="AI968" s="3066">
        <v>66</v>
      </c>
      <c r="AJ968" s="3066">
        <v>185.26</v>
      </c>
      <c r="AK968" s="3066">
        <v>185.26</v>
      </c>
      <c r="AL968" s="3066">
        <v>911.26</v>
      </c>
      <c r="AM968" s="3066">
        <v>911.26</v>
      </c>
      <c r="AN968" s="3066" t="s">
        <v>3560</v>
      </c>
      <c r="AP968" s="3068">
        <f t="shared" si="15"/>
        <v>20</v>
      </c>
    </row>
    <row r="969" spans="2:42" ht="27" customHeight="1">
      <c r="B969" s="3066">
        <v>977</v>
      </c>
      <c r="C969" s="3066" t="s">
        <v>6441</v>
      </c>
      <c r="D969" s="3066" t="s">
        <v>4003</v>
      </c>
      <c r="E969" s="3066" t="s">
        <v>6556</v>
      </c>
      <c r="F969" s="3066" t="s">
        <v>3917</v>
      </c>
      <c r="G969" s="3066" t="s">
        <v>1373</v>
      </c>
      <c r="H969" s="3066" t="s">
        <v>3560</v>
      </c>
      <c r="I969" s="3066" t="s">
        <v>3637</v>
      </c>
      <c r="J969" s="3066" t="s">
        <v>3638</v>
      </c>
      <c r="K969" s="3066" t="s">
        <v>3560</v>
      </c>
      <c r="L969" s="3066" t="s">
        <v>3639</v>
      </c>
      <c r="M969" s="3066" t="s">
        <v>6557</v>
      </c>
      <c r="N969" s="3066">
        <v>33</v>
      </c>
      <c r="O969" s="3066" t="s">
        <v>3619</v>
      </c>
      <c r="P969" s="3066" t="s">
        <v>3566</v>
      </c>
      <c r="Q969" s="3066">
        <v>1</v>
      </c>
      <c r="R969" s="3066">
        <v>1728.7</v>
      </c>
      <c r="S969" s="3066" t="s">
        <v>3567</v>
      </c>
      <c r="T969" s="3066">
        <v>20</v>
      </c>
      <c r="U969" s="3066">
        <v>660</v>
      </c>
      <c r="V969" s="3066" t="s">
        <v>3560</v>
      </c>
      <c r="W969" s="3066" t="s">
        <v>3568</v>
      </c>
      <c r="X969" s="3066">
        <v>2</v>
      </c>
      <c r="Y969" s="3066">
        <v>792</v>
      </c>
      <c r="Z969" s="3066" t="s">
        <v>3568</v>
      </c>
      <c r="AA969" s="3066" t="s">
        <v>3560</v>
      </c>
      <c r="AB969" s="3066" t="s">
        <v>3584</v>
      </c>
      <c r="AC969" s="3066" t="s">
        <v>3584</v>
      </c>
      <c r="AD969" s="3066" t="s">
        <v>3584</v>
      </c>
      <c r="AE969" s="3066" t="s">
        <v>3560</v>
      </c>
      <c r="AF969" s="3067">
        <v>660</v>
      </c>
      <c r="AG969" s="3066">
        <v>0</v>
      </c>
      <c r="AH969" s="3066">
        <v>66</v>
      </c>
      <c r="AI969" s="3066">
        <v>0</v>
      </c>
      <c r="AJ969" s="3066">
        <v>119.19</v>
      </c>
      <c r="AK969" s="3066">
        <v>0</v>
      </c>
      <c r="AL969" s="3066">
        <v>845.19</v>
      </c>
      <c r="AM969" s="3066">
        <v>0</v>
      </c>
      <c r="AN969" s="3066" t="s">
        <v>3560</v>
      </c>
      <c r="AP969" s="3068">
        <f t="shared" si="15"/>
        <v>20</v>
      </c>
    </row>
    <row r="970" spans="2:42" ht="27" customHeight="1">
      <c r="B970" s="3066">
        <v>978</v>
      </c>
      <c r="C970" s="3066" t="s">
        <v>6441</v>
      </c>
      <c r="D970" s="3066" t="s">
        <v>4019</v>
      </c>
      <c r="E970" s="3066" t="s">
        <v>6558</v>
      </c>
      <c r="F970" s="3066" t="s">
        <v>3917</v>
      </c>
      <c r="G970" s="3066" t="s">
        <v>1373</v>
      </c>
      <c r="H970" s="3066" t="s">
        <v>3560</v>
      </c>
      <c r="I970" s="3066" t="s">
        <v>3637</v>
      </c>
      <c r="J970" s="3066" t="s">
        <v>3638</v>
      </c>
      <c r="K970" s="3066" t="s">
        <v>3560</v>
      </c>
      <c r="L970" s="3066" t="s">
        <v>3639</v>
      </c>
      <c r="M970" s="3066" t="s">
        <v>6559</v>
      </c>
      <c r="N970" s="3066">
        <v>33</v>
      </c>
      <c r="O970" s="3066" t="s">
        <v>3619</v>
      </c>
      <c r="P970" s="3066" t="s">
        <v>3566</v>
      </c>
      <c r="Q970" s="3066">
        <v>1</v>
      </c>
      <c r="R970" s="3066">
        <v>0</v>
      </c>
      <c r="S970" s="3066" t="s">
        <v>3577</v>
      </c>
      <c r="T970" s="3066">
        <v>20</v>
      </c>
      <c r="U970" s="3066">
        <v>660</v>
      </c>
      <c r="V970" s="3066" t="s">
        <v>3560</v>
      </c>
      <c r="W970" s="3066" t="s">
        <v>3568</v>
      </c>
      <c r="X970" s="3066">
        <v>2</v>
      </c>
      <c r="Y970" s="3066">
        <v>792</v>
      </c>
      <c r="Z970" s="3066" t="s">
        <v>3568</v>
      </c>
      <c r="AA970" s="3066" t="s">
        <v>3560</v>
      </c>
      <c r="AB970" s="3066" t="s">
        <v>3584</v>
      </c>
      <c r="AC970" s="3066" t="s">
        <v>3584</v>
      </c>
      <c r="AD970" s="3066" t="s">
        <v>3584</v>
      </c>
      <c r="AE970" s="3066" t="s">
        <v>3560</v>
      </c>
      <c r="AF970" s="3067">
        <v>660</v>
      </c>
      <c r="AG970" s="3066">
        <v>0</v>
      </c>
      <c r="AH970" s="3066">
        <v>66</v>
      </c>
      <c r="AI970" s="3066">
        <v>0</v>
      </c>
      <c r="AJ970" s="3066">
        <v>11.73</v>
      </c>
      <c r="AK970" s="3066">
        <v>0</v>
      </c>
      <c r="AL970" s="3066">
        <v>737.73</v>
      </c>
      <c r="AM970" s="3066">
        <v>0</v>
      </c>
      <c r="AN970" s="3066" t="s">
        <v>3560</v>
      </c>
      <c r="AP970" s="3068">
        <f t="shared" si="15"/>
        <v>20</v>
      </c>
    </row>
    <row r="971" spans="2:42" ht="27" customHeight="1">
      <c r="B971" s="3066">
        <v>979</v>
      </c>
      <c r="C971" s="3066" t="s">
        <v>6441</v>
      </c>
      <c r="D971" s="3066" t="s">
        <v>4003</v>
      </c>
      <c r="E971" s="3066" t="s">
        <v>6560</v>
      </c>
      <c r="F971" s="3066" t="s">
        <v>3917</v>
      </c>
      <c r="G971" s="3066" t="s">
        <v>3560</v>
      </c>
      <c r="H971" s="3066" t="s">
        <v>3560</v>
      </c>
      <c r="I971" s="3066" t="s">
        <v>6561</v>
      </c>
      <c r="J971" s="3066" t="s">
        <v>6561</v>
      </c>
      <c r="K971" s="3066" t="s">
        <v>3560</v>
      </c>
      <c r="L971" s="3066" t="s">
        <v>6562</v>
      </c>
      <c r="M971" s="3066" t="s">
        <v>6563</v>
      </c>
      <c r="N971" s="3066">
        <v>35.700000000000003</v>
      </c>
      <c r="O971" s="3066" t="s">
        <v>3785</v>
      </c>
      <c r="P971" s="3066" t="s">
        <v>3566</v>
      </c>
      <c r="Q971" s="3066">
        <v>1</v>
      </c>
      <c r="R971" s="3066">
        <v>3680</v>
      </c>
      <c r="S971" s="3066" t="s">
        <v>3567</v>
      </c>
      <c r="T971" s="3066">
        <v>20</v>
      </c>
      <c r="U971" s="3066">
        <v>714</v>
      </c>
      <c r="V971" s="3066" t="s">
        <v>3560</v>
      </c>
      <c r="W971" s="3066" t="s">
        <v>3568</v>
      </c>
      <c r="X971" s="3066">
        <v>2.2799999999999998</v>
      </c>
      <c r="Y971" s="3066">
        <v>976.8</v>
      </c>
      <c r="Z971" s="3066" t="s">
        <v>3568</v>
      </c>
      <c r="AA971" s="3066" t="s">
        <v>3560</v>
      </c>
      <c r="AB971" s="3066" t="s">
        <v>3591</v>
      </c>
      <c r="AC971" s="3066" t="s">
        <v>3591</v>
      </c>
      <c r="AD971" s="3066" t="s">
        <v>3591</v>
      </c>
      <c r="AE971" s="3066" t="s">
        <v>3560</v>
      </c>
      <c r="AF971" s="3067">
        <v>714</v>
      </c>
      <c r="AG971" s="3066">
        <v>714</v>
      </c>
      <c r="AH971" s="3066">
        <v>81.400000000000006</v>
      </c>
      <c r="AI971" s="3066">
        <v>81.400000000000006</v>
      </c>
      <c r="AJ971" s="3066">
        <v>175.41</v>
      </c>
      <c r="AK971" s="3066">
        <v>175.41</v>
      </c>
      <c r="AL971" s="3066">
        <v>970.81</v>
      </c>
      <c r="AM971" s="3066">
        <v>970.81</v>
      </c>
      <c r="AN971" s="3066" t="s">
        <v>3560</v>
      </c>
      <c r="AP971" s="3068">
        <f t="shared" si="15"/>
        <v>20</v>
      </c>
    </row>
    <row r="972" spans="2:42" ht="27" customHeight="1">
      <c r="B972" s="3066">
        <v>980</v>
      </c>
      <c r="C972" s="3066" t="s">
        <v>6441</v>
      </c>
      <c r="D972" s="3066" t="s">
        <v>4209</v>
      </c>
      <c r="E972" s="3066" t="s">
        <v>6564</v>
      </c>
      <c r="F972" s="3066" t="s">
        <v>3917</v>
      </c>
      <c r="G972" s="3066" t="s">
        <v>3560</v>
      </c>
      <c r="H972" s="3066" t="s">
        <v>3560</v>
      </c>
      <c r="I972" s="3066" t="s">
        <v>6565</v>
      </c>
      <c r="J972" s="3066" t="s">
        <v>6565</v>
      </c>
      <c r="K972" s="3066" t="s">
        <v>3560</v>
      </c>
      <c r="L972" s="3066" t="s">
        <v>6566</v>
      </c>
      <c r="M972" s="3066" t="s">
        <v>6567</v>
      </c>
      <c r="N972" s="3066">
        <v>33</v>
      </c>
      <c r="O972" s="3066" t="s">
        <v>5211</v>
      </c>
      <c r="P972" s="3066" t="s">
        <v>3566</v>
      </c>
      <c r="Q972" s="3066">
        <v>1</v>
      </c>
      <c r="R972" s="3066">
        <v>3845</v>
      </c>
      <c r="S972" s="3066" t="s">
        <v>3567</v>
      </c>
      <c r="T972" s="3066">
        <v>21</v>
      </c>
      <c r="U972" s="3066">
        <v>693</v>
      </c>
      <c r="V972" s="3066" t="s">
        <v>3560</v>
      </c>
      <c r="W972" s="3066" t="s">
        <v>3568</v>
      </c>
      <c r="X972" s="3066">
        <v>2.2999999999999998</v>
      </c>
      <c r="Y972" s="3066">
        <v>912</v>
      </c>
      <c r="Z972" s="3066" t="s">
        <v>3568</v>
      </c>
      <c r="AA972" s="3066" t="s">
        <v>3560</v>
      </c>
      <c r="AB972" s="3066" t="s">
        <v>3943</v>
      </c>
      <c r="AC972" s="3066" t="s">
        <v>3943</v>
      </c>
      <c r="AD972" s="3066" t="s">
        <v>3943</v>
      </c>
      <c r="AE972" s="3066" t="s">
        <v>3560</v>
      </c>
      <c r="AF972" s="3067">
        <v>0</v>
      </c>
      <c r="AG972" s="3066">
        <v>0</v>
      </c>
      <c r="AH972" s="3066">
        <v>0</v>
      </c>
      <c r="AI972" s="3066">
        <v>0</v>
      </c>
      <c r="AJ972" s="3066">
        <v>0</v>
      </c>
      <c r="AK972" s="3066">
        <v>0</v>
      </c>
      <c r="AL972" s="3066">
        <v>0</v>
      </c>
      <c r="AM972" s="3066">
        <v>0</v>
      </c>
      <c r="AN972" s="3066" t="s">
        <v>3560</v>
      </c>
      <c r="AP972" s="3068">
        <f t="shared" si="15"/>
        <v>0</v>
      </c>
    </row>
    <row r="973" spans="2:42" ht="27" customHeight="1">
      <c r="B973" s="3066">
        <v>981</v>
      </c>
      <c r="C973" s="3066" t="s">
        <v>6441</v>
      </c>
      <c r="D973" s="3066" t="s">
        <v>4003</v>
      </c>
      <c r="E973" s="3066" t="s">
        <v>6568</v>
      </c>
      <c r="F973" s="3066" t="s">
        <v>3917</v>
      </c>
      <c r="G973" s="3066" t="s">
        <v>1373</v>
      </c>
      <c r="H973" s="3066" t="s">
        <v>3560</v>
      </c>
      <c r="I973" s="3066" t="s">
        <v>6569</v>
      </c>
      <c r="J973" s="3066" t="s">
        <v>3560</v>
      </c>
      <c r="K973" s="3066" t="s">
        <v>3560</v>
      </c>
      <c r="L973" s="3066" t="s">
        <v>6570</v>
      </c>
      <c r="M973" s="3066" t="s">
        <v>6571</v>
      </c>
      <c r="N973" s="3066">
        <v>33</v>
      </c>
      <c r="O973" s="3066" t="s">
        <v>3785</v>
      </c>
      <c r="P973" s="3066" t="s">
        <v>3566</v>
      </c>
      <c r="Q973" s="3066">
        <v>1</v>
      </c>
      <c r="R973" s="3066">
        <v>3680</v>
      </c>
      <c r="S973" s="3066" t="s">
        <v>3567</v>
      </c>
      <c r="T973" s="3066">
        <v>20</v>
      </c>
      <c r="U973" s="3066">
        <v>660</v>
      </c>
      <c r="V973" s="3066" t="s">
        <v>3560</v>
      </c>
      <c r="W973" s="3066" t="s">
        <v>3568</v>
      </c>
      <c r="X973" s="3066">
        <v>2.2999999999999998</v>
      </c>
      <c r="Y973" s="3066">
        <v>912</v>
      </c>
      <c r="Z973" s="3066" t="s">
        <v>3568</v>
      </c>
      <c r="AA973" s="3066" t="s">
        <v>3560</v>
      </c>
      <c r="AB973" s="3066" t="s">
        <v>3591</v>
      </c>
      <c r="AC973" s="3066" t="s">
        <v>3591</v>
      </c>
      <c r="AD973" s="3066" t="s">
        <v>3591</v>
      </c>
      <c r="AE973" s="3066" t="s">
        <v>3560</v>
      </c>
      <c r="AF973" s="3067">
        <v>660</v>
      </c>
      <c r="AG973" s="3066">
        <v>660</v>
      </c>
      <c r="AH973" s="3066">
        <v>76</v>
      </c>
      <c r="AI973" s="3066">
        <v>76</v>
      </c>
      <c r="AJ973" s="3066">
        <v>32.119999999999997</v>
      </c>
      <c r="AK973" s="3066">
        <v>32.119999999999997</v>
      </c>
      <c r="AL973" s="3066">
        <v>768.12</v>
      </c>
      <c r="AM973" s="3066">
        <v>768.12</v>
      </c>
      <c r="AN973" s="3066" t="s">
        <v>3560</v>
      </c>
      <c r="AP973" s="3068">
        <f t="shared" si="15"/>
        <v>20</v>
      </c>
    </row>
    <row r="974" spans="2:42" ht="27" customHeight="1">
      <c r="B974" s="3066">
        <v>982</v>
      </c>
      <c r="C974" s="3066" t="s">
        <v>6441</v>
      </c>
      <c r="D974" s="3066" t="s">
        <v>4209</v>
      </c>
      <c r="E974" s="3066" t="s">
        <v>6572</v>
      </c>
      <c r="F974" s="3066" t="s">
        <v>3917</v>
      </c>
      <c r="G974" s="3066" t="s">
        <v>1373</v>
      </c>
      <c r="H974" s="3066" t="s">
        <v>3560</v>
      </c>
      <c r="I974" s="3066" t="s">
        <v>6573</v>
      </c>
      <c r="J974" s="3066" t="s">
        <v>3560</v>
      </c>
      <c r="K974" s="3066" t="s">
        <v>3560</v>
      </c>
      <c r="L974" s="3066" t="s">
        <v>6574</v>
      </c>
      <c r="M974" s="3066" t="s">
        <v>6575</v>
      </c>
      <c r="N974" s="3066">
        <v>33</v>
      </c>
      <c r="O974" s="3066" t="s">
        <v>3676</v>
      </c>
      <c r="P974" s="3066" t="s">
        <v>3566</v>
      </c>
      <c r="Q974" s="3066">
        <v>1</v>
      </c>
      <c r="R974" s="3066">
        <v>3680</v>
      </c>
      <c r="S974" s="3066" t="s">
        <v>3567</v>
      </c>
      <c r="T974" s="3066">
        <v>20</v>
      </c>
      <c r="U974" s="3066">
        <v>660</v>
      </c>
      <c r="V974" s="3066" t="s">
        <v>3560</v>
      </c>
      <c r="W974" s="3066" t="s">
        <v>3568</v>
      </c>
      <c r="X974" s="3066">
        <v>2.2999999999999998</v>
      </c>
      <c r="Y974" s="3066">
        <v>912</v>
      </c>
      <c r="Z974" s="3066" t="s">
        <v>3568</v>
      </c>
      <c r="AA974" s="3066" t="s">
        <v>3560</v>
      </c>
      <c r="AB974" s="3066" t="s">
        <v>3677</v>
      </c>
      <c r="AC974" s="3066" t="s">
        <v>3677</v>
      </c>
      <c r="AD974" s="3066" t="s">
        <v>3677</v>
      </c>
      <c r="AE974" s="3066" t="s">
        <v>3560</v>
      </c>
      <c r="AF974" s="3067">
        <v>660</v>
      </c>
      <c r="AG974" s="3066">
        <v>660</v>
      </c>
      <c r="AH974" s="3066">
        <v>76</v>
      </c>
      <c r="AI974" s="3066">
        <v>76</v>
      </c>
      <c r="AJ974" s="3066">
        <v>17.600000000000001</v>
      </c>
      <c r="AK974" s="3066">
        <v>17.600000000000001</v>
      </c>
      <c r="AL974" s="3066">
        <v>753.6</v>
      </c>
      <c r="AM974" s="3066">
        <v>753.6</v>
      </c>
      <c r="AN974" s="3066" t="s">
        <v>3560</v>
      </c>
      <c r="AP974" s="3068">
        <f t="shared" si="15"/>
        <v>20</v>
      </c>
    </row>
    <row r="975" spans="2:42" ht="27" customHeight="1">
      <c r="B975" s="3066">
        <v>983</v>
      </c>
      <c r="C975" s="3066" t="s">
        <v>6441</v>
      </c>
      <c r="D975" s="3066" t="s">
        <v>4209</v>
      </c>
      <c r="E975" s="3066" t="s">
        <v>6576</v>
      </c>
      <c r="F975" s="3066" t="s">
        <v>3917</v>
      </c>
      <c r="G975" s="3066" t="s">
        <v>3560</v>
      </c>
      <c r="H975" s="3066" t="s">
        <v>3560</v>
      </c>
      <c r="I975" s="3066" t="s">
        <v>6577</v>
      </c>
      <c r="J975" s="3066" t="s">
        <v>6577</v>
      </c>
      <c r="K975" s="3066" t="s">
        <v>3560</v>
      </c>
      <c r="L975" s="3066" t="s">
        <v>6578</v>
      </c>
      <c r="M975" s="3066" t="s">
        <v>6579</v>
      </c>
      <c r="N975" s="3066">
        <v>33</v>
      </c>
      <c r="O975" s="3066" t="s">
        <v>5211</v>
      </c>
      <c r="P975" s="3066" t="s">
        <v>3566</v>
      </c>
      <c r="Q975" s="3066">
        <v>1</v>
      </c>
      <c r="R975" s="3066">
        <v>3845</v>
      </c>
      <c r="S975" s="3066" t="s">
        <v>3567</v>
      </c>
      <c r="T975" s="3066">
        <v>21</v>
      </c>
      <c r="U975" s="3066">
        <v>693</v>
      </c>
      <c r="V975" s="3066" t="s">
        <v>3560</v>
      </c>
      <c r="W975" s="3066" t="s">
        <v>3568</v>
      </c>
      <c r="X975" s="3066">
        <v>2.2999999999999998</v>
      </c>
      <c r="Y975" s="3066">
        <v>912</v>
      </c>
      <c r="Z975" s="3066" t="s">
        <v>3568</v>
      </c>
      <c r="AA975" s="3066" t="s">
        <v>3560</v>
      </c>
      <c r="AB975" s="3066" t="s">
        <v>3943</v>
      </c>
      <c r="AC975" s="3066" t="s">
        <v>3943</v>
      </c>
      <c r="AD975" s="3066" t="s">
        <v>3943</v>
      </c>
      <c r="AE975" s="3066" t="s">
        <v>3560</v>
      </c>
      <c r="AF975" s="3067">
        <v>0</v>
      </c>
      <c r="AG975" s="3066">
        <v>0</v>
      </c>
      <c r="AH975" s="3066">
        <v>0</v>
      </c>
      <c r="AI975" s="3066">
        <v>0</v>
      </c>
      <c r="AJ975" s="3066">
        <v>0</v>
      </c>
      <c r="AK975" s="3066">
        <v>0</v>
      </c>
      <c r="AL975" s="3066">
        <v>0</v>
      </c>
      <c r="AM975" s="3066">
        <v>0</v>
      </c>
      <c r="AN975" s="3066" t="s">
        <v>3560</v>
      </c>
      <c r="AP975" s="3068">
        <f t="shared" si="15"/>
        <v>0</v>
      </c>
    </row>
    <row r="976" spans="2:42" ht="27" customHeight="1">
      <c r="B976" s="3066">
        <v>984</v>
      </c>
      <c r="C976" s="3066" t="s">
        <v>6441</v>
      </c>
      <c r="D976" s="3066" t="s">
        <v>4209</v>
      </c>
      <c r="E976" s="3066" t="s">
        <v>6580</v>
      </c>
      <c r="F976" s="3066" t="s">
        <v>3917</v>
      </c>
      <c r="G976" s="3066" t="s">
        <v>1373</v>
      </c>
      <c r="H976" s="3066" t="s">
        <v>3560</v>
      </c>
      <c r="I976" s="3066" t="s">
        <v>6581</v>
      </c>
      <c r="J976" s="3066" t="s">
        <v>6581</v>
      </c>
      <c r="K976" s="3066" t="s">
        <v>3560</v>
      </c>
      <c r="L976" s="3066" t="s">
        <v>6582</v>
      </c>
      <c r="M976" s="3066" t="s">
        <v>6583</v>
      </c>
      <c r="N976" s="3066">
        <v>33</v>
      </c>
      <c r="O976" s="3066" t="s">
        <v>3744</v>
      </c>
      <c r="P976" s="3066" t="s">
        <v>3566</v>
      </c>
      <c r="Q976" s="3066">
        <v>1</v>
      </c>
      <c r="R976" s="3066">
        <v>3680</v>
      </c>
      <c r="S976" s="3066" t="s">
        <v>3567</v>
      </c>
      <c r="T976" s="3066">
        <v>20</v>
      </c>
      <c r="U976" s="3066">
        <v>660</v>
      </c>
      <c r="V976" s="3066" t="s">
        <v>3560</v>
      </c>
      <c r="W976" s="3066" t="s">
        <v>3568</v>
      </c>
      <c r="X976" s="3066">
        <v>2.2999999999999998</v>
      </c>
      <c r="Y976" s="3066">
        <v>912</v>
      </c>
      <c r="Z976" s="3066" t="s">
        <v>3568</v>
      </c>
      <c r="AA976" s="3066" t="s">
        <v>3560</v>
      </c>
      <c r="AB976" s="3066" t="s">
        <v>3746</v>
      </c>
      <c r="AC976" s="3066" t="s">
        <v>3746</v>
      </c>
      <c r="AD976" s="3066" t="s">
        <v>3746</v>
      </c>
      <c r="AE976" s="3066" t="s">
        <v>3560</v>
      </c>
      <c r="AF976" s="3067">
        <v>660</v>
      </c>
      <c r="AG976" s="3066">
        <v>660</v>
      </c>
      <c r="AH976" s="3066">
        <v>76</v>
      </c>
      <c r="AI976" s="3066">
        <v>76</v>
      </c>
      <c r="AJ976" s="3066">
        <v>124.75</v>
      </c>
      <c r="AK976" s="3066">
        <v>124.75</v>
      </c>
      <c r="AL976" s="3066">
        <v>860.75</v>
      </c>
      <c r="AM976" s="3066">
        <v>860.75</v>
      </c>
      <c r="AN976" s="3066" t="s">
        <v>3560</v>
      </c>
      <c r="AP976" s="3068">
        <f t="shared" si="15"/>
        <v>20</v>
      </c>
    </row>
    <row r="977" spans="2:42" ht="27" customHeight="1">
      <c r="B977" s="3066">
        <v>985</v>
      </c>
      <c r="C977" s="3066" t="s">
        <v>6441</v>
      </c>
      <c r="D977" s="3066" t="s">
        <v>4209</v>
      </c>
      <c r="E977" s="3066" t="s">
        <v>6584</v>
      </c>
      <c r="F977" s="3066" t="s">
        <v>3917</v>
      </c>
      <c r="G977" s="3066" t="s">
        <v>1373</v>
      </c>
      <c r="H977" s="3066" t="s">
        <v>3560</v>
      </c>
      <c r="I977" s="3066" t="s">
        <v>6585</v>
      </c>
      <c r="J977" s="3066" t="s">
        <v>3560</v>
      </c>
      <c r="K977" s="3066" t="s">
        <v>3560</v>
      </c>
      <c r="L977" s="3066" t="s">
        <v>6586</v>
      </c>
      <c r="M977" s="3066" t="s">
        <v>6587</v>
      </c>
      <c r="N977" s="3066">
        <v>33</v>
      </c>
      <c r="O977" s="3066" t="s">
        <v>3619</v>
      </c>
      <c r="P977" s="3066" t="s">
        <v>3566</v>
      </c>
      <c r="Q977" s="3066">
        <v>1</v>
      </c>
      <c r="R977" s="3066">
        <v>3680</v>
      </c>
      <c r="S977" s="3066" t="s">
        <v>3567</v>
      </c>
      <c r="T977" s="3066">
        <v>21</v>
      </c>
      <c r="U977" s="3066">
        <v>693</v>
      </c>
      <c r="V977" s="3066" t="s">
        <v>3560</v>
      </c>
      <c r="W977" s="3066" t="s">
        <v>3568</v>
      </c>
      <c r="X977" s="3066">
        <v>2.2999999999999998</v>
      </c>
      <c r="Y977" s="3066">
        <v>912</v>
      </c>
      <c r="Z977" s="3066" t="s">
        <v>3568</v>
      </c>
      <c r="AA977" s="3066" t="s">
        <v>3560</v>
      </c>
      <c r="AB977" s="3066" t="s">
        <v>3584</v>
      </c>
      <c r="AC977" s="3066" t="s">
        <v>3584</v>
      </c>
      <c r="AD977" s="3066" t="s">
        <v>3584</v>
      </c>
      <c r="AE977" s="3066" t="s">
        <v>3560</v>
      </c>
      <c r="AF977" s="3067">
        <v>693</v>
      </c>
      <c r="AG977" s="3066">
        <v>0</v>
      </c>
      <c r="AH977" s="3066">
        <v>76</v>
      </c>
      <c r="AI977" s="3066">
        <v>0</v>
      </c>
      <c r="AJ977" s="3066">
        <v>83.03</v>
      </c>
      <c r="AK977" s="3066">
        <v>0</v>
      </c>
      <c r="AL977" s="3066">
        <v>852.03</v>
      </c>
      <c r="AM977" s="3066">
        <v>0</v>
      </c>
      <c r="AN977" s="3066" t="s">
        <v>3560</v>
      </c>
      <c r="AP977" s="3068">
        <f t="shared" si="15"/>
        <v>21</v>
      </c>
    </row>
    <row r="978" spans="2:42" ht="27" customHeight="1">
      <c r="B978" s="3066">
        <v>986</v>
      </c>
      <c r="C978" s="3066" t="s">
        <v>6441</v>
      </c>
      <c r="D978" s="3066" t="s">
        <v>4209</v>
      </c>
      <c r="E978" s="3066" t="s">
        <v>6588</v>
      </c>
      <c r="F978" s="3066" t="s">
        <v>3917</v>
      </c>
      <c r="G978" s="3066" t="s">
        <v>1373</v>
      </c>
      <c r="H978" s="3066" t="s">
        <v>3560</v>
      </c>
      <c r="I978" s="3066" t="s">
        <v>6589</v>
      </c>
      <c r="J978" s="3066" t="s">
        <v>3560</v>
      </c>
      <c r="K978" s="3066" t="s">
        <v>3560</v>
      </c>
      <c r="L978" s="3066" t="s">
        <v>6590</v>
      </c>
      <c r="M978" s="3066" t="s">
        <v>6591</v>
      </c>
      <c r="N978" s="3066">
        <v>33</v>
      </c>
      <c r="O978" s="3066" t="s">
        <v>3676</v>
      </c>
      <c r="P978" s="3066" t="s">
        <v>3566</v>
      </c>
      <c r="Q978" s="3066">
        <v>1</v>
      </c>
      <c r="R978" s="3066">
        <v>7360</v>
      </c>
      <c r="S978" s="3066" t="s">
        <v>3567</v>
      </c>
      <c r="T978" s="3066">
        <v>20</v>
      </c>
      <c r="U978" s="3066">
        <v>660</v>
      </c>
      <c r="V978" s="3066" t="s">
        <v>3560</v>
      </c>
      <c r="W978" s="3066" t="s">
        <v>3568</v>
      </c>
      <c r="X978" s="3066">
        <v>2.2999999999999998</v>
      </c>
      <c r="Y978" s="3066">
        <v>912</v>
      </c>
      <c r="Z978" s="3066" t="s">
        <v>3568</v>
      </c>
      <c r="AA978" s="3066" t="s">
        <v>3560</v>
      </c>
      <c r="AB978" s="3066" t="s">
        <v>3677</v>
      </c>
      <c r="AC978" s="3066" t="s">
        <v>3677</v>
      </c>
      <c r="AD978" s="3066" t="s">
        <v>3677</v>
      </c>
      <c r="AE978" s="3066" t="s">
        <v>3560</v>
      </c>
      <c r="AF978" s="3067">
        <v>660</v>
      </c>
      <c r="AG978" s="3066">
        <v>0</v>
      </c>
      <c r="AH978" s="3066">
        <v>76</v>
      </c>
      <c r="AI978" s="3066">
        <v>0</v>
      </c>
      <c r="AJ978" s="3066">
        <v>33.31</v>
      </c>
      <c r="AK978" s="3066">
        <v>0</v>
      </c>
      <c r="AL978" s="3066">
        <v>769.31</v>
      </c>
      <c r="AM978" s="3066">
        <v>0</v>
      </c>
      <c r="AN978" s="3066" t="s">
        <v>3560</v>
      </c>
      <c r="AP978" s="3068">
        <f t="shared" si="15"/>
        <v>20</v>
      </c>
    </row>
    <row r="979" spans="2:42" ht="27" customHeight="1">
      <c r="B979" s="3066">
        <v>987</v>
      </c>
      <c r="C979" s="3066" t="s">
        <v>6441</v>
      </c>
      <c r="D979" s="3066" t="s">
        <v>4209</v>
      </c>
      <c r="E979" s="3066" t="s">
        <v>6592</v>
      </c>
      <c r="F979" s="3066" t="s">
        <v>3917</v>
      </c>
      <c r="G979" s="3066" t="s">
        <v>3560</v>
      </c>
      <c r="H979" s="3066" t="s">
        <v>3560</v>
      </c>
      <c r="I979" s="3066" t="s">
        <v>6593</v>
      </c>
      <c r="J979" s="3066" t="s">
        <v>6593</v>
      </c>
      <c r="K979" s="3066" t="s">
        <v>3560</v>
      </c>
      <c r="L979" s="3066" t="s">
        <v>6594</v>
      </c>
      <c r="M979" s="3066" t="s">
        <v>6595</v>
      </c>
      <c r="N979" s="3066">
        <v>33</v>
      </c>
      <c r="O979" s="3066" t="s">
        <v>3950</v>
      </c>
      <c r="P979" s="3066" t="s">
        <v>3566</v>
      </c>
      <c r="Q979" s="3066">
        <v>1</v>
      </c>
      <c r="R979" s="3066">
        <v>3680</v>
      </c>
      <c r="S979" s="3066" t="s">
        <v>3567</v>
      </c>
      <c r="T979" s="3066">
        <v>21</v>
      </c>
      <c r="U979" s="3066">
        <v>693</v>
      </c>
      <c r="V979" s="3066" t="s">
        <v>3560</v>
      </c>
      <c r="W979" s="3066" t="s">
        <v>3568</v>
      </c>
      <c r="X979" s="3066">
        <v>2.2999999999999998</v>
      </c>
      <c r="Y979" s="3066">
        <v>912</v>
      </c>
      <c r="Z979" s="3066" t="s">
        <v>3568</v>
      </c>
      <c r="AA979" s="3066" t="s">
        <v>3560</v>
      </c>
      <c r="AB979" s="3066" t="s">
        <v>3951</v>
      </c>
      <c r="AC979" s="3066" t="s">
        <v>3951</v>
      </c>
      <c r="AD979" s="3066" t="s">
        <v>3951</v>
      </c>
      <c r="AE979" s="3066" t="s">
        <v>3560</v>
      </c>
      <c r="AF979" s="3067">
        <v>693</v>
      </c>
      <c r="AG979" s="3066">
        <v>0</v>
      </c>
      <c r="AH979" s="3066">
        <v>76</v>
      </c>
      <c r="AI979" s="3066">
        <v>0</v>
      </c>
      <c r="AJ979" s="3066">
        <v>85.25</v>
      </c>
      <c r="AK979" s="3066">
        <v>0</v>
      </c>
      <c r="AL979" s="3066">
        <v>854.25</v>
      </c>
      <c r="AM979" s="3066">
        <v>0</v>
      </c>
      <c r="AN979" s="3066" t="s">
        <v>3560</v>
      </c>
      <c r="AP979" s="3068">
        <f t="shared" si="15"/>
        <v>21</v>
      </c>
    </row>
    <row r="980" spans="2:42" ht="27" customHeight="1">
      <c r="B980" s="3066">
        <v>988</v>
      </c>
      <c r="C980" s="3066" t="s">
        <v>6441</v>
      </c>
      <c r="D980" s="3066" t="s">
        <v>4209</v>
      </c>
      <c r="E980" s="3066" t="s">
        <v>6596</v>
      </c>
      <c r="F980" s="3066" t="s">
        <v>3917</v>
      </c>
      <c r="G980" s="3066" t="s">
        <v>4312</v>
      </c>
      <c r="H980" s="3066" t="s">
        <v>3560</v>
      </c>
      <c r="I980" s="3066" t="s">
        <v>6532</v>
      </c>
      <c r="J980" s="3066" t="s">
        <v>6533</v>
      </c>
      <c r="K980" s="3066" t="s">
        <v>3560</v>
      </c>
      <c r="L980" s="3066" t="s">
        <v>6534</v>
      </c>
      <c r="M980" s="3066" t="s">
        <v>6597</v>
      </c>
      <c r="N980" s="3066">
        <v>33</v>
      </c>
      <c r="O980" s="3066" t="s">
        <v>3992</v>
      </c>
      <c r="P980" s="3066" t="s">
        <v>3566</v>
      </c>
      <c r="Q980" s="3066">
        <v>0</v>
      </c>
      <c r="R980" s="3066">
        <v>0</v>
      </c>
      <c r="S980" s="3066" t="s">
        <v>3577</v>
      </c>
      <c r="T980" s="3066">
        <v>21</v>
      </c>
      <c r="U980" s="3066">
        <v>693</v>
      </c>
      <c r="V980" s="3066" t="s">
        <v>3560</v>
      </c>
      <c r="W980" s="3066" t="s">
        <v>3568</v>
      </c>
      <c r="X980" s="3066">
        <v>2</v>
      </c>
      <c r="Y980" s="3066">
        <v>792</v>
      </c>
      <c r="Z980" s="3066" t="s">
        <v>3568</v>
      </c>
      <c r="AA980" s="3066" t="s">
        <v>3560</v>
      </c>
      <c r="AB980" s="3066" t="s">
        <v>3993</v>
      </c>
      <c r="AC980" s="3066" t="s">
        <v>3993</v>
      </c>
      <c r="AD980" s="3066" t="s">
        <v>3993</v>
      </c>
      <c r="AE980" s="3066" t="s">
        <v>3560</v>
      </c>
      <c r="AF980" s="3067">
        <v>1050.68</v>
      </c>
      <c r="AG980" s="3066">
        <v>1050.68</v>
      </c>
      <c r="AH980" s="3066">
        <v>100.07</v>
      </c>
      <c r="AI980" s="3066">
        <v>100.07</v>
      </c>
      <c r="AJ980" s="3066">
        <v>205.68</v>
      </c>
      <c r="AK980" s="3066">
        <v>205.68</v>
      </c>
      <c r="AL980" s="3066">
        <v>1356.43</v>
      </c>
      <c r="AM980" s="3066">
        <v>1356.43</v>
      </c>
      <c r="AN980" s="3066" t="s">
        <v>3560</v>
      </c>
      <c r="AP980" s="3068">
        <f t="shared" si="15"/>
        <v>31.83878787878788</v>
      </c>
    </row>
    <row r="981" spans="2:42" ht="27" customHeight="1">
      <c r="B981" s="3066">
        <v>989</v>
      </c>
      <c r="C981" s="3066" t="s">
        <v>3106</v>
      </c>
      <c r="D981" s="3066" t="s">
        <v>3560</v>
      </c>
      <c r="E981" s="3066" t="s">
        <v>6598</v>
      </c>
      <c r="F981" s="3066" t="s">
        <v>3559</v>
      </c>
      <c r="G981" s="3066" t="s">
        <v>3560</v>
      </c>
      <c r="H981" s="3066" t="s">
        <v>3560</v>
      </c>
      <c r="I981" s="3066" t="s">
        <v>3560</v>
      </c>
      <c r="J981" s="3066" t="s">
        <v>3560</v>
      </c>
      <c r="K981" s="3066" t="s">
        <v>3560</v>
      </c>
      <c r="L981" s="3066" t="s">
        <v>3560</v>
      </c>
      <c r="M981" s="3066" t="s">
        <v>6599</v>
      </c>
      <c r="N981" s="3066">
        <v>1268.5999999999999</v>
      </c>
      <c r="O981" s="3066" t="s">
        <v>3560</v>
      </c>
      <c r="P981" s="3066" t="s">
        <v>3560</v>
      </c>
      <c r="Q981" s="3066">
        <v>0</v>
      </c>
      <c r="R981" s="3066">
        <v>0</v>
      </c>
      <c r="S981" s="3066" t="s">
        <v>3577</v>
      </c>
      <c r="T981" s="3066">
        <v>0</v>
      </c>
      <c r="U981" s="3066">
        <v>0</v>
      </c>
      <c r="V981" s="3066" t="s">
        <v>3560</v>
      </c>
      <c r="W981" s="3066" t="s">
        <v>3568</v>
      </c>
      <c r="X981" s="3066">
        <v>0</v>
      </c>
      <c r="Y981" s="3066">
        <v>0</v>
      </c>
      <c r="Z981" s="3066" t="s">
        <v>3568</v>
      </c>
      <c r="AA981" s="3066" t="s">
        <v>3560</v>
      </c>
      <c r="AB981" s="3066" t="s">
        <v>3560</v>
      </c>
      <c r="AC981" s="3066" t="s">
        <v>3560</v>
      </c>
      <c r="AD981" s="3066" t="s">
        <v>3560</v>
      </c>
      <c r="AE981" s="3066" t="s">
        <v>3560</v>
      </c>
      <c r="AF981" s="3067">
        <v>0</v>
      </c>
      <c r="AG981" s="3066">
        <v>0</v>
      </c>
      <c r="AH981" s="3066">
        <v>0</v>
      </c>
      <c r="AI981" s="3066">
        <v>0</v>
      </c>
      <c r="AJ981" s="3066">
        <v>0</v>
      </c>
      <c r="AK981" s="3066">
        <v>0</v>
      </c>
      <c r="AL981" s="3066">
        <v>0</v>
      </c>
      <c r="AM981" s="3066">
        <v>0</v>
      </c>
      <c r="AN981" s="3066" t="s">
        <v>3560</v>
      </c>
      <c r="AP981" s="3068">
        <f t="shared" si="15"/>
        <v>0</v>
      </c>
    </row>
    <row r="982" spans="2:42" ht="27" customHeight="1">
      <c r="B982" s="3066">
        <v>990</v>
      </c>
      <c r="C982" s="3066" t="s">
        <v>3106</v>
      </c>
      <c r="D982" s="3066" t="s">
        <v>3926</v>
      </c>
      <c r="E982" s="3066" t="s">
        <v>6600</v>
      </c>
      <c r="F982" s="3066" t="s">
        <v>3559</v>
      </c>
      <c r="G982" s="3066" t="s">
        <v>3560</v>
      </c>
      <c r="H982" s="3066" t="s">
        <v>3560</v>
      </c>
      <c r="I982" s="3066" t="s">
        <v>3560</v>
      </c>
      <c r="J982" s="3066" t="s">
        <v>3560</v>
      </c>
      <c r="K982" s="3066" t="s">
        <v>3560</v>
      </c>
      <c r="L982" s="3066" t="s">
        <v>3560</v>
      </c>
      <c r="M982" s="3066" t="s">
        <v>6601</v>
      </c>
      <c r="N982" s="3066">
        <v>2541.6</v>
      </c>
      <c r="O982" s="3066" t="s">
        <v>3560</v>
      </c>
      <c r="P982" s="3066" t="s">
        <v>3560</v>
      </c>
      <c r="Q982" s="3066">
        <v>0</v>
      </c>
      <c r="R982" s="3066">
        <v>0</v>
      </c>
      <c r="S982" s="3066" t="s">
        <v>3577</v>
      </c>
      <c r="T982" s="3066">
        <v>0</v>
      </c>
      <c r="U982" s="3066">
        <v>0</v>
      </c>
      <c r="V982" s="3066" t="s">
        <v>3560</v>
      </c>
      <c r="W982" s="3066" t="s">
        <v>3568</v>
      </c>
      <c r="X982" s="3066">
        <v>0</v>
      </c>
      <c r="Y982" s="3066">
        <v>0</v>
      </c>
      <c r="Z982" s="3066" t="s">
        <v>3568</v>
      </c>
      <c r="AA982" s="3066" t="s">
        <v>3560</v>
      </c>
      <c r="AB982" s="3066" t="s">
        <v>3560</v>
      </c>
      <c r="AC982" s="3066" t="s">
        <v>3560</v>
      </c>
      <c r="AD982" s="3066" t="s">
        <v>3560</v>
      </c>
      <c r="AE982" s="3066" t="s">
        <v>3560</v>
      </c>
      <c r="AF982" s="3067">
        <v>0</v>
      </c>
      <c r="AG982" s="3066">
        <v>0</v>
      </c>
      <c r="AH982" s="3066">
        <v>0</v>
      </c>
      <c r="AI982" s="3066">
        <v>0</v>
      </c>
      <c r="AJ982" s="3066">
        <v>0</v>
      </c>
      <c r="AK982" s="3066">
        <v>0</v>
      </c>
      <c r="AL982" s="3066">
        <v>0</v>
      </c>
      <c r="AM982" s="3066">
        <v>0</v>
      </c>
      <c r="AN982" s="3066" t="s">
        <v>3560</v>
      </c>
      <c r="AP982" s="3068">
        <f t="shared" si="15"/>
        <v>0</v>
      </c>
    </row>
    <row r="983" spans="2:42" ht="27" customHeight="1">
      <c r="B983" s="3066">
        <v>991</v>
      </c>
      <c r="C983" s="3066" t="s">
        <v>3106</v>
      </c>
      <c r="D983" s="3066" t="s">
        <v>4209</v>
      </c>
      <c r="E983" s="3066" t="s">
        <v>6602</v>
      </c>
      <c r="F983" s="3066" t="s">
        <v>3559</v>
      </c>
      <c r="G983" s="3066" t="s">
        <v>3560</v>
      </c>
      <c r="H983" s="3066" t="s">
        <v>3560</v>
      </c>
      <c r="I983" s="3066" t="s">
        <v>3560</v>
      </c>
      <c r="J983" s="3066" t="s">
        <v>3560</v>
      </c>
      <c r="K983" s="3066" t="s">
        <v>3560</v>
      </c>
      <c r="L983" s="3066" t="s">
        <v>3560</v>
      </c>
      <c r="M983" s="3066" t="s">
        <v>6603</v>
      </c>
      <c r="N983" s="3066">
        <v>2541.6</v>
      </c>
      <c r="O983" s="3066" t="s">
        <v>3560</v>
      </c>
      <c r="P983" s="3066" t="s">
        <v>3560</v>
      </c>
      <c r="Q983" s="3066">
        <v>0</v>
      </c>
      <c r="R983" s="3066">
        <v>0</v>
      </c>
      <c r="S983" s="3066" t="s">
        <v>3577</v>
      </c>
      <c r="T983" s="3066">
        <v>0</v>
      </c>
      <c r="U983" s="3066">
        <v>0</v>
      </c>
      <c r="V983" s="3066" t="s">
        <v>3560</v>
      </c>
      <c r="W983" s="3066" t="s">
        <v>3568</v>
      </c>
      <c r="X983" s="3066">
        <v>0</v>
      </c>
      <c r="Y983" s="3066">
        <v>0</v>
      </c>
      <c r="Z983" s="3066" t="s">
        <v>3568</v>
      </c>
      <c r="AA983" s="3066" t="s">
        <v>3560</v>
      </c>
      <c r="AB983" s="3066" t="s">
        <v>3560</v>
      </c>
      <c r="AC983" s="3066" t="s">
        <v>3560</v>
      </c>
      <c r="AD983" s="3066" t="s">
        <v>3560</v>
      </c>
      <c r="AE983" s="3066" t="s">
        <v>3560</v>
      </c>
      <c r="AF983" s="3067">
        <v>0</v>
      </c>
      <c r="AG983" s="3066">
        <v>0</v>
      </c>
      <c r="AH983" s="3066">
        <v>0</v>
      </c>
      <c r="AI983" s="3066">
        <v>0</v>
      </c>
      <c r="AJ983" s="3066">
        <v>0</v>
      </c>
      <c r="AK983" s="3066">
        <v>0</v>
      </c>
      <c r="AL983" s="3066">
        <v>0</v>
      </c>
      <c r="AM983" s="3066">
        <v>0</v>
      </c>
      <c r="AN983" s="3066" t="s">
        <v>3560</v>
      </c>
      <c r="AP983" s="3068">
        <f t="shared" si="15"/>
        <v>0</v>
      </c>
    </row>
    <row r="984" spans="2:42" ht="27" customHeight="1">
      <c r="B984" s="3066">
        <v>992</v>
      </c>
      <c r="C984" s="3066" t="s">
        <v>3106</v>
      </c>
      <c r="D984" s="3066" t="s">
        <v>3560</v>
      </c>
      <c r="E984" s="3066" t="s">
        <v>6604</v>
      </c>
      <c r="F984" s="3066" t="s">
        <v>3559</v>
      </c>
      <c r="G984" s="3066" t="s">
        <v>3560</v>
      </c>
      <c r="H984" s="3066" t="s">
        <v>3560</v>
      </c>
      <c r="I984" s="3066" t="s">
        <v>3560</v>
      </c>
      <c r="J984" s="3066" t="s">
        <v>3560</v>
      </c>
      <c r="K984" s="3066" t="s">
        <v>3560</v>
      </c>
      <c r="L984" s="3066" t="s">
        <v>3560</v>
      </c>
      <c r="M984" s="3066" t="s">
        <v>6605</v>
      </c>
      <c r="N984" s="3066">
        <v>530</v>
      </c>
      <c r="O984" s="3066" t="s">
        <v>3560</v>
      </c>
      <c r="P984" s="3066" t="s">
        <v>3560</v>
      </c>
      <c r="Q984" s="3066">
        <v>0</v>
      </c>
      <c r="R984" s="3066">
        <v>0</v>
      </c>
      <c r="S984" s="3066" t="s">
        <v>3577</v>
      </c>
      <c r="T984" s="3066">
        <v>0</v>
      </c>
      <c r="U984" s="3066">
        <v>0</v>
      </c>
      <c r="V984" s="3066" t="s">
        <v>3560</v>
      </c>
      <c r="W984" s="3066" t="s">
        <v>3568</v>
      </c>
      <c r="X984" s="3066">
        <v>0</v>
      </c>
      <c r="Y984" s="3066">
        <v>0</v>
      </c>
      <c r="Z984" s="3066" t="s">
        <v>3568</v>
      </c>
      <c r="AA984" s="3066" t="s">
        <v>3560</v>
      </c>
      <c r="AB984" s="3066" t="s">
        <v>3560</v>
      </c>
      <c r="AC984" s="3066" t="s">
        <v>3560</v>
      </c>
      <c r="AD984" s="3066" t="s">
        <v>3560</v>
      </c>
      <c r="AE984" s="3066" t="s">
        <v>3560</v>
      </c>
      <c r="AF984" s="3067">
        <v>0</v>
      </c>
      <c r="AG984" s="3066">
        <v>0</v>
      </c>
      <c r="AH984" s="3066">
        <v>0</v>
      </c>
      <c r="AI984" s="3066">
        <v>0</v>
      </c>
      <c r="AJ984" s="3066">
        <v>0</v>
      </c>
      <c r="AK984" s="3066">
        <v>0</v>
      </c>
      <c r="AL984" s="3066">
        <v>0</v>
      </c>
      <c r="AM984" s="3066">
        <v>0</v>
      </c>
      <c r="AN984" s="3066" t="s">
        <v>3560</v>
      </c>
      <c r="AP984" s="3068">
        <f t="shared" si="15"/>
        <v>0</v>
      </c>
    </row>
    <row r="985" spans="2:42" ht="27" customHeight="1">
      <c r="B985" s="3066">
        <v>993</v>
      </c>
      <c r="C985" s="3066" t="s">
        <v>3846</v>
      </c>
      <c r="D985" s="3066" t="s">
        <v>3560</v>
      </c>
      <c r="E985" s="3066" t="s">
        <v>6606</v>
      </c>
      <c r="F985" s="3066" t="s">
        <v>3559</v>
      </c>
      <c r="G985" s="3066" t="s">
        <v>1373</v>
      </c>
      <c r="H985" s="3066" t="s">
        <v>3560</v>
      </c>
      <c r="I985" s="3066" t="s">
        <v>4837</v>
      </c>
      <c r="J985" s="3066" t="s">
        <v>4838</v>
      </c>
      <c r="K985" s="3066" t="s">
        <v>3560</v>
      </c>
      <c r="L985" s="3066" t="s">
        <v>4839</v>
      </c>
      <c r="M985" s="3066" t="s">
        <v>6607</v>
      </c>
      <c r="N985" s="3066">
        <v>1093</v>
      </c>
      <c r="O985" s="3066" t="s">
        <v>3654</v>
      </c>
      <c r="P985" s="3066" t="s">
        <v>3566</v>
      </c>
      <c r="Q985" s="3066">
        <v>4</v>
      </c>
      <c r="R985" s="3066">
        <v>0</v>
      </c>
      <c r="S985" s="3066" t="s">
        <v>3577</v>
      </c>
      <c r="T985" s="3066">
        <v>22</v>
      </c>
      <c r="U985" s="3066">
        <v>24046</v>
      </c>
      <c r="V985" s="3066" t="s">
        <v>3560</v>
      </c>
      <c r="W985" s="3066" t="s">
        <v>3568</v>
      </c>
      <c r="X985" s="3066">
        <v>2.5</v>
      </c>
      <c r="Y985" s="3066">
        <v>32790</v>
      </c>
      <c r="Z985" s="3066" t="s">
        <v>3568</v>
      </c>
      <c r="AA985" s="3066" t="s">
        <v>3560</v>
      </c>
      <c r="AB985" s="3066" t="s">
        <v>3655</v>
      </c>
      <c r="AC985" s="3066" t="s">
        <v>3655</v>
      </c>
      <c r="AD985" s="3066" t="s">
        <v>3655</v>
      </c>
      <c r="AE985" s="3066" t="s">
        <v>3560</v>
      </c>
      <c r="AF985" s="3067">
        <v>24046</v>
      </c>
      <c r="AG985" s="3066">
        <v>24046</v>
      </c>
      <c r="AH985" s="3066">
        <v>2732.5</v>
      </c>
      <c r="AI985" s="3066">
        <v>2732.5</v>
      </c>
      <c r="AJ985" s="3066">
        <v>5398.2</v>
      </c>
      <c r="AK985" s="3066">
        <v>5398.2</v>
      </c>
      <c r="AL985" s="3066">
        <v>32176.7</v>
      </c>
      <c r="AM985" s="3066">
        <v>32176.7</v>
      </c>
      <c r="AN985" s="3066" t="s">
        <v>3560</v>
      </c>
      <c r="AP985" s="3068">
        <f t="shared" si="15"/>
        <v>22</v>
      </c>
    </row>
    <row r="986" spans="2:42" ht="27" customHeight="1">
      <c r="B986" s="3066">
        <v>994</v>
      </c>
      <c r="C986" s="3066" t="s">
        <v>3874</v>
      </c>
      <c r="D986" s="3066" t="s">
        <v>3560</v>
      </c>
      <c r="E986" s="3066" t="s">
        <v>6608</v>
      </c>
      <c r="F986" s="3066" t="s">
        <v>3559</v>
      </c>
      <c r="G986" s="3066" t="s">
        <v>1373</v>
      </c>
      <c r="H986" s="3066" t="s">
        <v>3560</v>
      </c>
      <c r="I986" s="3066" t="s">
        <v>3712</v>
      </c>
      <c r="J986" s="3066" t="s">
        <v>3713</v>
      </c>
      <c r="K986" s="3066" t="s">
        <v>3560</v>
      </c>
      <c r="L986" s="3066" t="s">
        <v>3714</v>
      </c>
      <c r="M986" s="3066" t="s">
        <v>6609</v>
      </c>
      <c r="N986" s="3066">
        <v>1141</v>
      </c>
      <c r="O986" s="3066" t="s">
        <v>5411</v>
      </c>
      <c r="P986" s="3066" t="s">
        <v>3566</v>
      </c>
      <c r="Q986" s="3066">
        <v>2</v>
      </c>
      <c r="R986" s="3066">
        <v>0</v>
      </c>
      <c r="S986" s="3066" t="s">
        <v>3577</v>
      </c>
      <c r="T986" s="3066">
        <v>22.7</v>
      </c>
      <c r="U986" s="3066">
        <v>25900.7</v>
      </c>
      <c r="V986" s="3066" t="s">
        <v>3560</v>
      </c>
      <c r="W986" s="3066" t="s">
        <v>3568</v>
      </c>
      <c r="X986" s="3066">
        <v>2.2999999999999998</v>
      </c>
      <c r="Y986" s="3066">
        <v>31491.599999999999</v>
      </c>
      <c r="Z986" s="3066" t="s">
        <v>3568</v>
      </c>
      <c r="AA986" s="3066" t="s">
        <v>3560</v>
      </c>
      <c r="AB986" s="3066" t="s">
        <v>5412</v>
      </c>
      <c r="AC986" s="3066" t="s">
        <v>5412</v>
      </c>
      <c r="AD986" s="3066" t="s">
        <v>5412</v>
      </c>
      <c r="AE986" s="3066" t="s">
        <v>3560</v>
      </c>
      <c r="AF986" s="3067">
        <v>28559.23</v>
      </c>
      <c r="AG986" s="3066">
        <v>0</v>
      </c>
      <c r="AH986" s="3066">
        <v>2624.3</v>
      </c>
      <c r="AI986" s="3066">
        <v>0</v>
      </c>
      <c r="AJ986" s="3066">
        <v>9928.3799999999992</v>
      </c>
      <c r="AK986" s="3066">
        <v>0</v>
      </c>
      <c r="AL986" s="3066">
        <v>41111.910000000003</v>
      </c>
      <c r="AM986" s="3066">
        <v>0</v>
      </c>
      <c r="AN986" s="3066" t="s">
        <v>3560</v>
      </c>
      <c r="AP986" s="3068">
        <f t="shared" si="15"/>
        <v>25.03</v>
      </c>
    </row>
    <row r="987" spans="2:42" ht="27" customHeight="1">
      <c r="B987" s="3066">
        <v>995</v>
      </c>
      <c r="C987" s="3066" t="s">
        <v>3874</v>
      </c>
      <c r="D987" s="3066" t="s">
        <v>3560</v>
      </c>
      <c r="E987" s="3066" t="s">
        <v>6610</v>
      </c>
      <c r="F987" s="3066" t="s">
        <v>3559</v>
      </c>
      <c r="G987" s="3066" t="s">
        <v>1373</v>
      </c>
      <c r="H987" s="3066" t="s">
        <v>3560</v>
      </c>
      <c r="I987" s="3066" t="s">
        <v>3712</v>
      </c>
      <c r="J987" s="3066" t="s">
        <v>3713</v>
      </c>
      <c r="K987" s="3066" t="s">
        <v>3560</v>
      </c>
      <c r="L987" s="3066" t="s">
        <v>3714</v>
      </c>
      <c r="M987" s="3066" t="s">
        <v>6611</v>
      </c>
      <c r="N987" s="3066">
        <v>1410</v>
      </c>
      <c r="O987" s="3066" t="s">
        <v>5411</v>
      </c>
      <c r="P987" s="3066" t="s">
        <v>3566</v>
      </c>
      <c r="Q987" s="3066">
        <v>2</v>
      </c>
      <c r="R987" s="3066">
        <v>0</v>
      </c>
      <c r="S987" s="3066" t="s">
        <v>3577</v>
      </c>
      <c r="T987" s="3066">
        <v>22.7</v>
      </c>
      <c r="U987" s="3066">
        <v>32007</v>
      </c>
      <c r="V987" s="3066" t="s">
        <v>3560</v>
      </c>
      <c r="W987" s="3066" t="s">
        <v>3568</v>
      </c>
      <c r="X987" s="3066">
        <v>2.2999999999999998</v>
      </c>
      <c r="Y987" s="3066">
        <v>38916</v>
      </c>
      <c r="Z987" s="3066" t="s">
        <v>3568</v>
      </c>
      <c r="AA987" s="3066" t="s">
        <v>3560</v>
      </c>
      <c r="AB987" s="3066" t="s">
        <v>5412</v>
      </c>
      <c r="AC987" s="3066" t="s">
        <v>5412</v>
      </c>
      <c r="AD987" s="3066" t="s">
        <v>5412</v>
      </c>
      <c r="AE987" s="3066" t="s">
        <v>3560</v>
      </c>
      <c r="AF987" s="3067">
        <v>35292.300000000003</v>
      </c>
      <c r="AG987" s="3066">
        <v>0</v>
      </c>
      <c r="AH987" s="3066">
        <v>3243</v>
      </c>
      <c r="AI987" s="3066">
        <v>0</v>
      </c>
      <c r="AJ987" s="3066">
        <v>6949.62</v>
      </c>
      <c r="AK987" s="3066">
        <v>0</v>
      </c>
      <c r="AL987" s="3066">
        <v>45484.92</v>
      </c>
      <c r="AM987" s="3066">
        <v>0</v>
      </c>
      <c r="AN987" s="3066" t="s">
        <v>3560</v>
      </c>
      <c r="AP987" s="3068">
        <f t="shared" si="15"/>
        <v>25.03</v>
      </c>
    </row>
    <row r="988" spans="2:42" ht="27" customHeight="1">
      <c r="B988" s="3066">
        <v>996</v>
      </c>
      <c r="C988" s="3066" t="s">
        <v>3874</v>
      </c>
      <c r="D988" s="3066" t="s">
        <v>3560</v>
      </c>
      <c r="E988" s="3066" t="s">
        <v>6612</v>
      </c>
      <c r="F988" s="3066" t="s">
        <v>3559</v>
      </c>
      <c r="G988" s="3066" t="s">
        <v>1373</v>
      </c>
      <c r="H988" s="3066" t="s">
        <v>3560</v>
      </c>
      <c r="I988" s="3066" t="s">
        <v>3712</v>
      </c>
      <c r="J988" s="3066" t="s">
        <v>3713</v>
      </c>
      <c r="K988" s="3066" t="s">
        <v>3560</v>
      </c>
      <c r="L988" s="3066" t="s">
        <v>3714</v>
      </c>
      <c r="M988" s="3066" t="s">
        <v>6613</v>
      </c>
      <c r="N988" s="3066">
        <v>903</v>
      </c>
      <c r="O988" s="3066" t="s">
        <v>5411</v>
      </c>
      <c r="P988" s="3066" t="s">
        <v>3566</v>
      </c>
      <c r="Q988" s="3066">
        <v>2</v>
      </c>
      <c r="R988" s="3066">
        <v>0</v>
      </c>
      <c r="S988" s="3066" t="s">
        <v>3577</v>
      </c>
      <c r="T988" s="3066">
        <v>22.7</v>
      </c>
      <c r="U988" s="3066">
        <v>20498.099999999999</v>
      </c>
      <c r="V988" s="3066" t="s">
        <v>3560</v>
      </c>
      <c r="W988" s="3066" t="s">
        <v>3568</v>
      </c>
      <c r="X988" s="3066">
        <v>2.2999999999999998</v>
      </c>
      <c r="Y988" s="3066">
        <v>24922.799999999999</v>
      </c>
      <c r="Z988" s="3066" t="s">
        <v>3568</v>
      </c>
      <c r="AA988" s="3066" t="s">
        <v>3560</v>
      </c>
      <c r="AB988" s="3066" t="s">
        <v>5412</v>
      </c>
      <c r="AC988" s="3066" t="s">
        <v>5412</v>
      </c>
      <c r="AD988" s="3066" t="s">
        <v>5412</v>
      </c>
      <c r="AE988" s="3066" t="s">
        <v>3560</v>
      </c>
      <c r="AF988" s="3067">
        <v>22602.09</v>
      </c>
      <c r="AG988" s="3066">
        <v>0</v>
      </c>
      <c r="AH988" s="3066">
        <v>2076.9</v>
      </c>
      <c r="AI988" s="3066">
        <v>0</v>
      </c>
      <c r="AJ988" s="3066">
        <v>2605.4</v>
      </c>
      <c r="AK988" s="3066">
        <v>0</v>
      </c>
      <c r="AL988" s="3066">
        <v>27284.39</v>
      </c>
      <c r="AM988" s="3066">
        <v>0</v>
      </c>
      <c r="AN988" s="3066" t="s">
        <v>3560</v>
      </c>
      <c r="AP988" s="3068">
        <f t="shared" si="15"/>
        <v>25.03</v>
      </c>
    </row>
    <row r="989" spans="2:42" ht="27" customHeight="1">
      <c r="B989" s="3066">
        <v>997</v>
      </c>
      <c r="C989" s="3066" t="s">
        <v>3874</v>
      </c>
      <c r="D989" s="3066" t="s">
        <v>3560</v>
      </c>
      <c r="E989" s="3066" t="s">
        <v>6614</v>
      </c>
      <c r="F989" s="3066" t="s">
        <v>3559</v>
      </c>
      <c r="G989" s="3066" t="s">
        <v>1373</v>
      </c>
      <c r="H989" s="3066" t="s">
        <v>3560</v>
      </c>
      <c r="I989" s="3066" t="s">
        <v>3712</v>
      </c>
      <c r="J989" s="3066" t="s">
        <v>3713</v>
      </c>
      <c r="K989" s="3066" t="s">
        <v>3560</v>
      </c>
      <c r="L989" s="3066" t="s">
        <v>3714</v>
      </c>
      <c r="M989" s="3066" t="s">
        <v>6615</v>
      </c>
      <c r="N989" s="3066">
        <v>1142</v>
      </c>
      <c r="O989" s="3066" t="s">
        <v>5411</v>
      </c>
      <c r="P989" s="3066" t="s">
        <v>3566</v>
      </c>
      <c r="Q989" s="3066">
        <v>2</v>
      </c>
      <c r="R989" s="3066">
        <v>0</v>
      </c>
      <c r="S989" s="3066" t="s">
        <v>3577</v>
      </c>
      <c r="T989" s="3066">
        <v>22.7</v>
      </c>
      <c r="U989" s="3066">
        <v>25923.4</v>
      </c>
      <c r="V989" s="3066" t="s">
        <v>3560</v>
      </c>
      <c r="W989" s="3066" t="s">
        <v>3568</v>
      </c>
      <c r="X989" s="3066">
        <v>2.2999999999999998</v>
      </c>
      <c r="Y989" s="3066">
        <v>31519.200000000001</v>
      </c>
      <c r="Z989" s="3066" t="s">
        <v>3568</v>
      </c>
      <c r="AA989" s="3066" t="s">
        <v>3560</v>
      </c>
      <c r="AB989" s="3066" t="s">
        <v>5412</v>
      </c>
      <c r="AC989" s="3066" t="s">
        <v>5412</v>
      </c>
      <c r="AD989" s="3066" t="s">
        <v>5412</v>
      </c>
      <c r="AE989" s="3066" t="s">
        <v>3560</v>
      </c>
      <c r="AF989" s="3067">
        <v>28584.26</v>
      </c>
      <c r="AG989" s="3066">
        <v>0</v>
      </c>
      <c r="AH989" s="3066">
        <v>2626.6</v>
      </c>
      <c r="AI989" s="3066">
        <v>0</v>
      </c>
      <c r="AJ989" s="3066">
        <v>1489.92</v>
      </c>
      <c r="AK989" s="3066">
        <v>0</v>
      </c>
      <c r="AL989" s="3066">
        <v>32700.78</v>
      </c>
      <c r="AM989" s="3066">
        <v>0</v>
      </c>
      <c r="AN989" s="3066" t="s">
        <v>3560</v>
      </c>
      <c r="AP989" s="3068">
        <f t="shared" si="15"/>
        <v>25.029999999999998</v>
      </c>
    </row>
    <row r="990" spans="2:42" ht="27" customHeight="1">
      <c r="B990" s="3066">
        <v>998</v>
      </c>
      <c r="C990" s="3066" t="s">
        <v>3874</v>
      </c>
      <c r="D990" s="3066" t="s">
        <v>3560</v>
      </c>
      <c r="E990" s="3066" t="s">
        <v>6616</v>
      </c>
      <c r="F990" s="3066" t="s">
        <v>3559</v>
      </c>
      <c r="G990" s="3066" t="s">
        <v>1373</v>
      </c>
      <c r="H990" s="3066" t="s">
        <v>3560</v>
      </c>
      <c r="I990" s="3066" t="s">
        <v>3712</v>
      </c>
      <c r="J990" s="3066" t="s">
        <v>3713</v>
      </c>
      <c r="K990" s="3066" t="s">
        <v>3560</v>
      </c>
      <c r="L990" s="3066" t="s">
        <v>3714</v>
      </c>
      <c r="M990" s="3066" t="s">
        <v>6617</v>
      </c>
      <c r="N990" s="3066">
        <v>1410</v>
      </c>
      <c r="O990" s="3066" t="s">
        <v>5411</v>
      </c>
      <c r="P990" s="3066" t="s">
        <v>3566</v>
      </c>
      <c r="Q990" s="3066">
        <v>2</v>
      </c>
      <c r="R990" s="3066">
        <v>0</v>
      </c>
      <c r="S990" s="3066" t="s">
        <v>3577</v>
      </c>
      <c r="T990" s="3066">
        <v>22.7</v>
      </c>
      <c r="U990" s="3066">
        <v>32007</v>
      </c>
      <c r="V990" s="3066" t="s">
        <v>3560</v>
      </c>
      <c r="W990" s="3066" t="s">
        <v>3568</v>
      </c>
      <c r="X990" s="3066">
        <v>2.2999999999999998</v>
      </c>
      <c r="Y990" s="3066">
        <v>38916</v>
      </c>
      <c r="Z990" s="3066" t="s">
        <v>3568</v>
      </c>
      <c r="AA990" s="3066" t="s">
        <v>3560</v>
      </c>
      <c r="AB990" s="3066" t="s">
        <v>5412</v>
      </c>
      <c r="AC990" s="3066" t="s">
        <v>5412</v>
      </c>
      <c r="AD990" s="3066" t="s">
        <v>5412</v>
      </c>
      <c r="AE990" s="3066" t="s">
        <v>3560</v>
      </c>
      <c r="AF990" s="3067">
        <v>35292.300000000003</v>
      </c>
      <c r="AG990" s="3066">
        <v>0</v>
      </c>
      <c r="AH990" s="3066">
        <v>3243</v>
      </c>
      <c r="AI990" s="3066">
        <v>0</v>
      </c>
      <c r="AJ990" s="3066">
        <v>5085.8900000000003</v>
      </c>
      <c r="AK990" s="3066">
        <v>0</v>
      </c>
      <c r="AL990" s="3066">
        <v>43621.19</v>
      </c>
      <c r="AM990" s="3066">
        <v>0</v>
      </c>
      <c r="AN990" s="3066" t="s">
        <v>3560</v>
      </c>
      <c r="AP990" s="3068">
        <f t="shared" si="15"/>
        <v>25.03</v>
      </c>
    </row>
    <row r="991" spans="2:42" ht="27" customHeight="1">
      <c r="B991" s="3066">
        <v>999</v>
      </c>
      <c r="C991" s="3066" t="s">
        <v>3877</v>
      </c>
      <c r="D991" s="3066" t="s">
        <v>3560</v>
      </c>
      <c r="E991" s="3066" t="s">
        <v>6618</v>
      </c>
      <c r="F991" s="3066" t="s">
        <v>3559</v>
      </c>
      <c r="G991" s="3066" t="s">
        <v>1373</v>
      </c>
      <c r="H991" s="3066" t="s">
        <v>3560</v>
      </c>
      <c r="I991" s="3066" t="s">
        <v>3879</v>
      </c>
      <c r="J991" s="3066" t="s">
        <v>3880</v>
      </c>
      <c r="K991" s="3066" t="s">
        <v>3560</v>
      </c>
      <c r="L991" s="3066" t="s">
        <v>3881</v>
      </c>
      <c r="M991" s="3066" t="s">
        <v>6619</v>
      </c>
      <c r="N991" s="3066">
        <v>1180</v>
      </c>
      <c r="O991" s="3066" t="s">
        <v>6620</v>
      </c>
      <c r="P991" s="3066" t="s">
        <v>3566</v>
      </c>
      <c r="Q991" s="3066">
        <v>6</v>
      </c>
      <c r="R991" s="3066">
        <v>0</v>
      </c>
      <c r="S991" s="3066" t="s">
        <v>3577</v>
      </c>
      <c r="T991" s="3066">
        <v>73.87</v>
      </c>
      <c r="U991" s="3066">
        <v>87170</v>
      </c>
      <c r="V991" s="3066" t="s">
        <v>3560</v>
      </c>
      <c r="W991" s="3066" t="s">
        <v>3568</v>
      </c>
      <c r="X991" s="3066">
        <v>3.3</v>
      </c>
      <c r="Y991" s="3066">
        <v>46728</v>
      </c>
      <c r="Z991" s="3066" t="s">
        <v>3568</v>
      </c>
      <c r="AA991" s="3066" t="s">
        <v>3560</v>
      </c>
      <c r="AB991" s="3066" t="s">
        <v>6621</v>
      </c>
      <c r="AC991" s="3066" t="s">
        <v>6621</v>
      </c>
      <c r="AD991" s="3066" t="s">
        <v>6621</v>
      </c>
      <c r="AE991" s="3066" t="s">
        <v>3560</v>
      </c>
      <c r="AF991" s="3067">
        <v>91182</v>
      </c>
      <c r="AG991" s="3066">
        <v>91182</v>
      </c>
      <c r="AH991" s="3066">
        <v>3894</v>
      </c>
      <c r="AI991" s="3066">
        <v>3894</v>
      </c>
      <c r="AJ991" s="3066">
        <v>4968.07</v>
      </c>
      <c r="AK991" s="3066">
        <v>4968.07</v>
      </c>
      <c r="AL991" s="3066">
        <v>100044.07</v>
      </c>
      <c r="AM991" s="3066">
        <v>100044.07</v>
      </c>
      <c r="AN991" s="3066" t="s">
        <v>3560</v>
      </c>
      <c r="AP991" s="3068">
        <f t="shared" si="15"/>
        <v>77.272881355932199</v>
      </c>
    </row>
    <row r="992" spans="2:42" ht="27" customHeight="1">
      <c r="B992" s="3066">
        <v>1000</v>
      </c>
      <c r="C992" s="3066" t="s">
        <v>3877</v>
      </c>
      <c r="D992" s="3066" t="s">
        <v>3560</v>
      </c>
      <c r="E992" s="3066" t="s">
        <v>6622</v>
      </c>
      <c r="F992" s="3066" t="s">
        <v>3559</v>
      </c>
      <c r="G992" s="3066" t="s">
        <v>1373</v>
      </c>
      <c r="H992" s="3066" t="s">
        <v>3560</v>
      </c>
      <c r="I992" s="3066" t="s">
        <v>3879</v>
      </c>
      <c r="J992" s="3066" t="s">
        <v>3880</v>
      </c>
      <c r="K992" s="3066" t="s">
        <v>3560</v>
      </c>
      <c r="L992" s="3066" t="s">
        <v>3881</v>
      </c>
      <c r="M992" s="3066" t="s">
        <v>6623</v>
      </c>
      <c r="N992" s="3066">
        <v>1180</v>
      </c>
      <c r="O992" s="3066" t="s">
        <v>6620</v>
      </c>
      <c r="P992" s="3066" t="s">
        <v>3566</v>
      </c>
      <c r="Q992" s="3066">
        <v>6</v>
      </c>
      <c r="R992" s="3066">
        <v>0</v>
      </c>
      <c r="S992" s="3066" t="s">
        <v>3577</v>
      </c>
      <c r="T992" s="3066">
        <v>0</v>
      </c>
      <c r="U992" s="3066">
        <v>0</v>
      </c>
      <c r="V992" s="3066" t="s">
        <v>3560</v>
      </c>
      <c r="W992" s="3066" t="s">
        <v>3568</v>
      </c>
      <c r="X992" s="3066">
        <v>1.8</v>
      </c>
      <c r="Y992" s="3066">
        <v>25488</v>
      </c>
      <c r="Z992" s="3066" t="s">
        <v>3568</v>
      </c>
      <c r="AA992" s="3066" t="s">
        <v>3560</v>
      </c>
      <c r="AB992" s="3066" t="s">
        <v>6621</v>
      </c>
      <c r="AC992" s="3066" t="s">
        <v>6621</v>
      </c>
      <c r="AD992" s="3066" t="s">
        <v>6621</v>
      </c>
      <c r="AE992" s="3066" t="s">
        <v>3560</v>
      </c>
      <c r="AF992" s="3067">
        <v>0</v>
      </c>
      <c r="AG992" s="3066">
        <v>0</v>
      </c>
      <c r="AH992" s="3066">
        <v>2124</v>
      </c>
      <c r="AI992" s="3066">
        <v>2124</v>
      </c>
      <c r="AJ992" s="3066">
        <v>1137.92</v>
      </c>
      <c r="AK992" s="3066">
        <v>1137.92</v>
      </c>
      <c r="AL992" s="3066">
        <v>3261.92</v>
      </c>
      <c r="AM992" s="3066">
        <v>3261.92</v>
      </c>
      <c r="AN992" s="3066" t="s">
        <v>3560</v>
      </c>
      <c r="AP992" s="3068">
        <f t="shared" si="15"/>
        <v>0</v>
      </c>
    </row>
    <row r="993" spans="2:42" ht="27" customHeight="1">
      <c r="B993" s="3066">
        <v>1001</v>
      </c>
      <c r="C993" s="3066" t="s">
        <v>3877</v>
      </c>
      <c r="D993" s="3066" t="s">
        <v>3560</v>
      </c>
      <c r="E993" s="3066" t="s">
        <v>6624</v>
      </c>
      <c r="F993" s="3066" t="s">
        <v>3559</v>
      </c>
      <c r="G993" s="3066" t="s">
        <v>1373</v>
      </c>
      <c r="H993" s="3066" t="s">
        <v>3560</v>
      </c>
      <c r="I993" s="3066" t="s">
        <v>3879</v>
      </c>
      <c r="J993" s="3066" t="s">
        <v>3880</v>
      </c>
      <c r="K993" s="3066" t="s">
        <v>3560</v>
      </c>
      <c r="L993" s="3066" t="s">
        <v>3881</v>
      </c>
      <c r="M993" s="3066" t="s">
        <v>6625</v>
      </c>
      <c r="N993" s="3066">
        <v>1180</v>
      </c>
      <c r="O993" s="3066" t="s">
        <v>6620</v>
      </c>
      <c r="P993" s="3066" t="s">
        <v>3566</v>
      </c>
      <c r="Q993" s="3066">
        <v>6</v>
      </c>
      <c r="R993" s="3066">
        <v>0</v>
      </c>
      <c r="S993" s="3066" t="s">
        <v>3577</v>
      </c>
      <c r="T993" s="3066">
        <v>0</v>
      </c>
      <c r="U993" s="3066">
        <v>0</v>
      </c>
      <c r="V993" s="3066" t="s">
        <v>3560</v>
      </c>
      <c r="W993" s="3066" t="s">
        <v>3568</v>
      </c>
      <c r="X993" s="3066">
        <v>1.8</v>
      </c>
      <c r="Y993" s="3066">
        <v>25488</v>
      </c>
      <c r="Z993" s="3066" t="s">
        <v>3568</v>
      </c>
      <c r="AA993" s="3066" t="s">
        <v>3560</v>
      </c>
      <c r="AB993" s="3066" t="s">
        <v>6621</v>
      </c>
      <c r="AC993" s="3066" t="s">
        <v>6621</v>
      </c>
      <c r="AD993" s="3066" t="s">
        <v>6621</v>
      </c>
      <c r="AE993" s="3066" t="s">
        <v>3560</v>
      </c>
      <c r="AF993" s="3067">
        <v>0</v>
      </c>
      <c r="AG993" s="3066">
        <v>0</v>
      </c>
      <c r="AH993" s="3066">
        <v>2124</v>
      </c>
      <c r="AI993" s="3066">
        <v>2124</v>
      </c>
      <c r="AJ993" s="3066">
        <v>99.71</v>
      </c>
      <c r="AK993" s="3066">
        <v>99.71</v>
      </c>
      <c r="AL993" s="3066">
        <v>2223.71</v>
      </c>
      <c r="AM993" s="3066">
        <v>2223.71</v>
      </c>
      <c r="AN993" s="3066" t="s">
        <v>3560</v>
      </c>
      <c r="AP993" s="3068">
        <f t="shared" si="15"/>
        <v>0</v>
      </c>
    </row>
    <row r="994" spans="2:42" ht="27" customHeight="1">
      <c r="B994" s="3066">
        <v>1002</v>
      </c>
      <c r="C994" s="3066" t="s">
        <v>3877</v>
      </c>
      <c r="D994" s="3066" t="s">
        <v>3560</v>
      </c>
      <c r="E994" s="3066" t="s">
        <v>6626</v>
      </c>
      <c r="F994" s="3066" t="s">
        <v>3559</v>
      </c>
      <c r="G994" s="3066" t="s">
        <v>1373</v>
      </c>
      <c r="H994" s="3066" t="s">
        <v>3560</v>
      </c>
      <c r="I994" s="3066" t="s">
        <v>6627</v>
      </c>
      <c r="J994" s="3066" t="s">
        <v>6628</v>
      </c>
      <c r="K994" s="3066" t="s">
        <v>3560</v>
      </c>
      <c r="L994" s="3066" t="s">
        <v>6629</v>
      </c>
      <c r="M994" s="3066" t="s">
        <v>6630</v>
      </c>
      <c r="N994" s="3066">
        <v>165</v>
      </c>
      <c r="O994" s="3066" t="s">
        <v>3619</v>
      </c>
      <c r="P994" s="3066" t="s">
        <v>3566</v>
      </c>
      <c r="Q994" s="3066">
        <v>1</v>
      </c>
      <c r="R994" s="3066">
        <v>21780</v>
      </c>
      <c r="S994" s="3066" t="s">
        <v>3567</v>
      </c>
      <c r="T994" s="3066">
        <v>20</v>
      </c>
      <c r="U994" s="3066">
        <v>3300</v>
      </c>
      <c r="V994" s="3066" t="s">
        <v>3560</v>
      </c>
      <c r="W994" s="3066" t="s">
        <v>3568</v>
      </c>
      <c r="X994" s="3066">
        <v>2</v>
      </c>
      <c r="Y994" s="3066">
        <v>3960</v>
      </c>
      <c r="Z994" s="3066" t="s">
        <v>3568</v>
      </c>
      <c r="AA994" s="3066" t="s">
        <v>3560</v>
      </c>
      <c r="AB994" s="3066" t="s">
        <v>3584</v>
      </c>
      <c r="AC994" s="3066" t="s">
        <v>3584</v>
      </c>
      <c r="AD994" s="3066" t="s">
        <v>3584</v>
      </c>
      <c r="AE994" s="3066" t="s">
        <v>3560</v>
      </c>
      <c r="AF994" s="3067">
        <v>5300</v>
      </c>
      <c r="AG994" s="3066">
        <v>5300</v>
      </c>
      <c r="AH994" s="3066">
        <v>375</v>
      </c>
      <c r="AI994" s="3066">
        <v>375</v>
      </c>
      <c r="AJ994" s="3066">
        <v>0</v>
      </c>
      <c r="AK994" s="3066">
        <v>0</v>
      </c>
      <c r="AL994" s="3066">
        <v>5675</v>
      </c>
      <c r="AM994" s="3066">
        <v>5675</v>
      </c>
      <c r="AN994" s="3066" t="s">
        <v>3560</v>
      </c>
      <c r="AP994" s="3068">
        <f t="shared" si="15"/>
        <v>32.121212121212125</v>
      </c>
    </row>
    <row r="995" spans="2:42" ht="27" customHeight="1">
      <c r="B995" s="3066">
        <v>1003</v>
      </c>
      <c r="C995" s="3066" t="s">
        <v>3877</v>
      </c>
      <c r="D995" s="3066" t="s">
        <v>3560</v>
      </c>
      <c r="E995" s="3066" t="s">
        <v>6631</v>
      </c>
      <c r="F995" s="3066" t="s">
        <v>3559</v>
      </c>
      <c r="G995" s="3066" t="s">
        <v>1373</v>
      </c>
      <c r="H995" s="3066" t="s">
        <v>3560</v>
      </c>
      <c r="I995" s="3066" t="s">
        <v>3879</v>
      </c>
      <c r="J995" s="3066" t="s">
        <v>3880</v>
      </c>
      <c r="K995" s="3066" t="s">
        <v>3560</v>
      </c>
      <c r="L995" s="3066" t="s">
        <v>3881</v>
      </c>
      <c r="M995" s="3066" t="s">
        <v>6632</v>
      </c>
      <c r="N995" s="3066">
        <v>495</v>
      </c>
      <c r="O995" s="3066" t="s">
        <v>6620</v>
      </c>
      <c r="P995" s="3066" t="s">
        <v>3566</v>
      </c>
      <c r="Q995" s="3066">
        <v>6</v>
      </c>
      <c r="R995" s="3066">
        <v>0</v>
      </c>
      <c r="S995" s="3066" t="s">
        <v>3577</v>
      </c>
      <c r="T995" s="3066">
        <v>0</v>
      </c>
      <c r="U995" s="3066">
        <v>0</v>
      </c>
      <c r="V995" s="3066" t="s">
        <v>3560</v>
      </c>
      <c r="W995" s="3066" t="s">
        <v>3568</v>
      </c>
      <c r="X995" s="3066">
        <v>1.8</v>
      </c>
      <c r="Y995" s="3066">
        <v>10692</v>
      </c>
      <c r="Z995" s="3066" t="s">
        <v>3568</v>
      </c>
      <c r="AA995" s="3066" t="s">
        <v>3560</v>
      </c>
      <c r="AB995" s="3066" t="s">
        <v>6621</v>
      </c>
      <c r="AC995" s="3066" t="s">
        <v>6621</v>
      </c>
      <c r="AD995" s="3066" t="s">
        <v>6621</v>
      </c>
      <c r="AE995" s="3066" t="s">
        <v>3560</v>
      </c>
      <c r="AF995" s="3067">
        <v>0</v>
      </c>
      <c r="AG995" s="3066">
        <v>0</v>
      </c>
      <c r="AH995" s="3066">
        <v>891</v>
      </c>
      <c r="AI995" s="3066">
        <v>891</v>
      </c>
      <c r="AJ995" s="3066">
        <v>0</v>
      </c>
      <c r="AK995" s="3066">
        <v>0</v>
      </c>
      <c r="AL995" s="3066">
        <v>891</v>
      </c>
      <c r="AM995" s="3066">
        <v>891</v>
      </c>
      <c r="AN995" s="3066" t="s">
        <v>3560</v>
      </c>
      <c r="AP995" s="3068">
        <f t="shared" si="15"/>
        <v>0</v>
      </c>
    </row>
    <row r="996" spans="2:42" ht="27" customHeight="1">
      <c r="B996" s="3066">
        <v>1004</v>
      </c>
      <c r="C996" s="3066" t="s">
        <v>3877</v>
      </c>
      <c r="D996" s="3066" t="s">
        <v>3560</v>
      </c>
      <c r="E996" s="3066" t="s">
        <v>6633</v>
      </c>
      <c r="F996" s="3066" t="s">
        <v>3559</v>
      </c>
      <c r="G996" s="3066" t="s">
        <v>1373</v>
      </c>
      <c r="H996" s="3066" t="s">
        <v>3560</v>
      </c>
      <c r="I996" s="3066" t="s">
        <v>6627</v>
      </c>
      <c r="J996" s="3066" t="s">
        <v>6628</v>
      </c>
      <c r="K996" s="3066" t="s">
        <v>3560</v>
      </c>
      <c r="L996" s="3066" t="s">
        <v>6629</v>
      </c>
      <c r="M996" s="3066" t="s">
        <v>6634</v>
      </c>
      <c r="N996" s="3066">
        <v>165</v>
      </c>
      <c r="O996" s="3066" t="s">
        <v>3619</v>
      </c>
      <c r="P996" s="3066" t="s">
        <v>3566</v>
      </c>
      <c r="Q996" s="3066">
        <v>1</v>
      </c>
      <c r="R996" s="3066">
        <v>0</v>
      </c>
      <c r="S996" s="3066" t="s">
        <v>3577</v>
      </c>
      <c r="T996" s="3066">
        <v>20</v>
      </c>
      <c r="U996" s="3066">
        <v>3300</v>
      </c>
      <c r="V996" s="3066" t="s">
        <v>3560</v>
      </c>
      <c r="W996" s="3066" t="s">
        <v>3568</v>
      </c>
      <c r="X996" s="3066">
        <v>2</v>
      </c>
      <c r="Y996" s="3066">
        <v>3960</v>
      </c>
      <c r="Z996" s="3066" t="s">
        <v>3568</v>
      </c>
      <c r="AA996" s="3066" t="s">
        <v>3560</v>
      </c>
      <c r="AB996" s="3066" t="s">
        <v>3584</v>
      </c>
      <c r="AC996" s="3066" t="s">
        <v>3584</v>
      </c>
      <c r="AD996" s="3066" t="s">
        <v>3584</v>
      </c>
      <c r="AE996" s="3066" t="s">
        <v>3560</v>
      </c>
      <c r="AF996" s="3067">
        <v>3300</v>
      </c>
      <c r="AG996" s="3066">
        <v>3300</v>
      </c>
      <c r="AH996" s="3066">
        <v>330</v>
      </c>
      <c r="AI996" s="3066">
        <v>330</v>
      </c>
      <c r="AJ996" s="3066">
        <v>0</v>
      </c>
      <c r="AK996" s="3066">
        <v>0</v>
      </c>
      <c r="AL996" s="3066">
        <v>3630</v>
      </c>
      <c r="AM996" s="3066">
        <v>3630</v>
      </c>
      <c r="AN996" s="3066" t="s">
        <v>3560</v>
      </c>
      <c r="AP996" s="3068">
        <f t="shared" si="15"/>
        <v>20</v>
      </c>
    </row>
    <row r="997" spans="2:42" ht="27" customHeight="1">
      <c r="B997" s="3066">
        <v>1009</v>
      </c>
      <c r="C997" s="3066" t="s">
        <v>3877</v>
      </c>
      <c r="D997" s="3066" t="s">
        <v>3560</v>
      </c>
      <c r="E997" s="3066" t="s">
        <v>6635</v>
      </c>
      <c r="F997" s="3066" t="s">
        <v>3559</v>
      </c>
      <c r="G997" s="3066" t="s">
        <v>1373</v>
      </c>
      <c r="H997" s="3066" t="s">
        <v>3560</v>
      </c>
      <c r="I997" s="3066" t="s">
        <v>6627</v>
      </c>
      <c r="J997" s="3066" t="s">
        <v>6628</v>
      </c>
      <c r="K997" s="3066" t="s">
        <v>3560</v>
      </c>
      <c r="L997" s="3066" t="s">
        <v>6629</v>
      </c>
      <c r="M997" s="3066" t="s">
        <v>6636</v>
      </c>
      <c r="N997" s="3066">
        <v>1277.55</v>
      </c>
      <c r="O997" s="3066" t="s">
        <v>3641</v>
      </c>
      <c r="P997" s="3066" t="s">
        <v>3566</v>
      </c>
      <c r="Q997" s="3066">
        <v>2</v>
      </c>
      <c r="R997" s="3066">
        <v>121819.04</v>
      </c>
      <c r="S997" s="3066" t="s">
        <v>3567</v>
      </c>
      <c r="T997" s="3066">
        <v>26</v>
      </c>
      <c r="U997" s="3066">
        <v>30680</v>
      </c>
      <c r="V997" s="3066" t="s">
        <v>3560</v>
      </c>
      <c r="W997" s="3066" t="s">
        <v>3568</v>
      </c>
      <c r="X997" s="3066">
        <v>2.5</v>
      </c>
      <c r="Y997" s="3066">
        <v>35400</v>
      </c>
      <c r="Z997" s="3066" t="s">
        <v>3568</v>
      </c>
      <c r="AA997" s="3066" t="s">
        <v>3560</v>
      </c>
      <c r="AB997" s="3066" t="s">
        <v>3642</v>
      </c>
      <c r="AC997" s="3066" t="s">
        <v>3642</v>
      </c>
      <c r="AD997" s="3066" t="s">
        <v>3642</v>
      </c>
      <c r="AE997" s="3066" t="s">
        <v>3560</v>
      </c>
      <c r="AF997" s="3067">
        <v>33216.300000000003</v>
      </c>
      <c r="AG997" s="3066">
        <v>33216.300000000003</v>
      </c>
      <c r="AH997" s="3066">
        <v>3193.89</v>
      </c>
      <c r="AI997" s="3066">
        <v>3193.89</v>
      </c>
      <c r="AJ997" s="3066">
        <v>18145.580000000002</v>
      </c>
      <c r="AK997" s="3066">
        <v>18145.580000000002</v>
      </c>
      <c r="AL997" s="3066">
        <v>54555.77</v>
      </c>
      <c r="AM997" s="3066">
        <v>54555.77</v>
      </c>
      <c r="AN997" s="3066" t="s">
        <v>3560</v>
      </c>
      <c r="AP997" s="3068">
        <f t="shared" si="15"/>
        <v>26.000000000000004</v>
      </c>
    </row>
    <row r="998" spans="2:42" ht="27" customHeight="1">
      <c r="B998" s="3066">
        <v>1129</v>
      </c>
      <c r="C998" s="3066" t="s">
        <v>3121</v>
      </c>
      <c r="D998" s="3066" t="s">
        <v>3560</v>
      </c>
      <c r="E998" s="3066" t="s">
        <v>6637</v>
      </c>
      <c r="F998" s="3066" t="s">
        <v>3559</v>
      </c>
      <c r="G998" s="3066" t="s">
        <v>1373</v>
      </c>
      <c r="H998" s="3066" t="s">
        <v>3560</v>
      </c>
      <c r="I998" s="3066" t="s">
        <v>3598</v>
      </c>
      <c r="J998" s="3066" t="s">
        <v>3599</v>
      </c>
      <c r="K998" s="3066" t="s">
        <v>3560</v>
      </c>
      <c r="L998" s="3066" t="s">
        <v>3600</v>
      </c>
      <c r="M998" s="3066" t="s">
        <v>6638</v>
      </c>
      <c r="N998" s="3066">
        <v>1287.5</v>
      </c>
      <c r="O998" s="3066" t="s">
        <v>3619</v>
      </c>
      <c r="P998" s="3066" t="s">
        <v>3566</v>
      </c>
      <c r="Q998" s="3066">
        <v>1</v>
      </c>
      <c r="R998" s="3066">
        <v>111626.25</v>
      </c>
      <c r="S998" s="3066" t="s">
        <v>3567</v>
      </c>
      <c r="T998" s="3066">
        <v>26.4</v>
      </c>
      <c r="U998" s="3066">
        <v>33990</v>
      </c>
      <c r="V998" s="3066" t="s">
        <v>3560</v>
      </c>
      <c r="W998" s="3066" t="s">
        <v>3568</v>
      </c>
      <c r="X998" s="3066">
        <v>2.5</v>
      </c>
      <c r="Y998" s="3066">
        <v>38625</v>
      </c>
      <c r="Z998" s="3066" t="s">
        <v>3568</v>
      </c>
      <c r="AA998" s="3066" t="s">
        <v>3560</v>
      </c>
      <c r="AB998" s="3066" t="s">
        <v>3584</v>
      </c>
      <c r="AC998" s="3066" t="s">
        <v>3584</v>
      </c>
      <c r="AD998" s="3066" t="s">
        <v>3584</v>
      </c>
      <c r="AE998" s="3066" t="s">
        <v>3560</v>
      </c>
      <c r="AF998" s="3067">
        <v>33990</v>
      </c>
      <c r="AG998" s="3066">
        <v>0</v>
      </c>
      <c r="AH998" s="3066">
        <v>3218.75</v>
      </c>
      <c r="AI998" s="3066">
        <v>0</v>
      </c>
      <c r="AJ998" s="3066">
        <v>340.2</v>
      </c>
      <c r="AK998" s="3066">
        <v>0</v>
      </c>
      <c r="AL998" s="3066">
        <v>37548.949999999997</v>
      </c>
      <c r="AM998" s="3066">
        <v>0</v>
      </c>
      <c r="AN998" s="3066" t="s">
        <v>3560</v>
      </c>
      <c r="AP998" s="3068">
        <f t="shared" si="15"/>
        <v>26.4</v>
      </c>
    </row>
    <row r="999" spans="2:42" ht="27" customHeight="1">
      <c r="B999" s="3066">
        <v>1130</v>
      </c>
      <c r="C999" s="3066" t="s">
        <v>3121</v>
      </c>
      <c r="D999" s="3066" t="s">
        <v>3560</v>
      </c>
      <c r="E999" s="3066" t="s">
        <v>6639</v>
      </c>
      <c r="F999" s="3066" t="s">
        <v>3559</v>
      </c>
      <c r="G999" s="3066" t="s">
        <v>4312</v>
      </c>
      <c r="H999" s="3066" t="s">
        <v>3560</v>
      </c>
      <c r="I999" s="3066" t="s">
        <v>6532</v>
      </c>
      <c r="J999" s="3066" t="s">
        <v>6533</v>
      </c>
      <c r="K999" s="3066" t="s">
        <v>3560</v>
      </c>
      <c r="L999" s="3066" t="s">
        <v>6534</v>
      </c>
      <c r="M999" s="3066" t="s">
        <v>6640</v>
      </c>
      <c r="N999" s="3066">
        <v>1287.5</v>
      </c>
      <c r="O999" s="3066" t="s">
        <v>3619</v>
      </c>
      <c r="P999" s="3066" t="s">
        <v>3566</v>
      </c>
      <c r="Q999" s="3066">
        <v>1</v>
      </c>
      <c r="R999" s="3066">
        <v>117806.25</v>
      </c>
      <c r="S999" s="3066" t="s">
        <v>3567</v>
      </c>
      <c r="T999" s="3066">
        <v>28</v>
      </c>
      <c r="U999" s="3066">
        <v>36050</v>
      </c>
      <c r="V999" s="3066" t="s">
        <v>3560</v>
      </c>
      <c r="W999" s="3066" t="s">
        <v>3568</v>
      </c>
      <c r="X999" s="3066">
        <v>2.5</v>
      </c>
      <c r="Y999" s="3066">
        <v>38625</v>
      </c>
      <c r="Z999" s="3066" t="s">
        <v>3568</v>
      </c>
      <c r="AA999" s="3066" t="s">
        <v>3560</v>
      </c>
      <c r="AB999" s="3066" t="s">
        <v>3584</v>
      </c>
      <c r="AC999" s="3066" t="s">
        <v>3584</v>
      </c>
      <c r="AD999" s="3066" t="s">
        <v>3584</v>
      </c>
      <c r="AE999" s="3066" t="s">
        <v>3560</v>
      </c>
      <c r="AF999" s="3067">
        <v>36050</v>
      </c>
      <c r="AG999" s="3066">
        <v>36050</v>
      </c>
      <c r="AH999" s="3066">
        <v>3218.75</v>
      </c>
      <c r="AI999" s="3066">
        <v>3218.75</v>
      </c>
      <c r="AJ999" s="3066">
        <v>3530.12</v>
      </c>
      <c r="AK999" s="3066">
        <v>3530.12</v>
      </c>
      <c r="AL999" s="3066">
        <v>42798.87</v>
      </c>
      <c r="AM999" s="3066">
        <v>42798.87</v>
      </c>
      <c r="AN999" s="3066" t="s">
        <v>3560</v>
      </c>
      <c r="AP999" s="3068">
        <f t="shared" si="15"/>
        <v>28</v>
      </c>
    </row>
    <row r="1000" spans="2:42" ht="27" customHeight="1">
      <c r="B1000" s="3066">
        <v>1131</v>
      </c>
      <c r="C1000" s="3066" t="s">
        <v>3167</v>
      </c>
      <c r="D1000" s="3066" t="s">
        <v>4053</v>
      </c>
      <c r="E1000" s="3066" t="s">
        <v>6641</v>
      </c>
      <c r="F1000" s="3066" t="s">
        <v>3917</v>
      </c>
      <c r="G1000" s="3066" t="s">
        <v>3560</v>
      </c>
      <c r="H1000" s="3066" t="s">
        <v>3560</v>
      </c>
      <c r="I1000" s="3066" t="s">
        <v>3560</v>
      </c>
      <c r="J1000" s="3066" t="s">
        <v>3560</v>
      </c>
      <c r="K1000" s="3066" t="s">
        <v>3560</v>
      </c>
      <c r="L1000" s="3066" t="s">
        <v>3560</v>
      </c>
      <c r="M1000" s="3066" t="s">
        <v>6642</v>
      </c>
      <c r="N1000" s="3066">
        <v>40.299999999999997</v>
      </c>
      <c r="O1000" s="3066" t="s">
        <v>3560</v>
      </c>
      <c r="P1000" s="3066" t="s">
        <v>3560</v>
      </c>
      <c r="Q1000" s="3066">
        <v>0</v>
      </c>
      <c r="R1000" s="3066">
        <v>0</v>
      </c>
      <c r="S1000" s="3066" t="s">
        <v>3577</v>
      </c>
      <c r="T1000" s="3066">
        <v>0</v>
      </c>
      <c r="U1000" s="3066">
        <v>0</v>
      </c>
      <c r="V1000" s="3066" t="s">
        <v>3560</v>
      </c>
      <c r="W1000" s="3066" t="s">
        <v>3568</v>
      </c>
      <c r="X1000" s="3066">
        <v>0</v>
      </c>
      <c r="Y1000" s="3066">
        <v>0</v>
      </c>
      <c r="Z1000" s="3066" t="s">
        <v>3568</v>
      </c>
      <c r="AA1000" s="3066" t="s">
        <v>3560</v>
      </c>
      <c r="AB1000" s="3066" t="s">
        <v>3560</v>
      </c>
      <c r="AC1000" s="3066" t="s">
        <v>3560</v>
      </c>
      <c r="AD1000" s="3066" t="s">
        <v>3560</v>
      </c>
      <c r="AE1000" s="3066" t="s">
        <v>3560</v>
      </c>
      <c r="AF1000" s="3067">
        <v>0</v>
      </c>
      <c r="AG1000" s="3066">
        <v>0</v>
      </c>
      <c r="AH1000" s="3066">
        <v>0</v>
      </c>
      <c r="AI1000" s="3066">
        <v>0</v>
      </c>
      <c r="AJ1000" s="3066">
        <v>0</v>
      </c>
      <c r="AK1000" s="3066">
        <v>0</v>
      </c>
      <c r="AL1000" s="3066">
        <v>0</v>
      </c>
      <c r="AM1000" s="3066">
        <v>0</v>
      </c>
      <c r="AN1000" s="3066" t="s">
        <v>3560</v>
      </c>
      <c r="AP1000" s="3068">
        <f t="shared" si="15"/>
        <v>0</v>
      </c>
    </row>
    <row r="1001" spans="2:42" ht="27" customHeight="1">
      <c r="B1001" s="3066">
        <v>1132</v>
      </c>
      <c r="C1001" s="3066" t="s">
        <v>3167</v>
      </c>
      <c r="D1001" s="3066" t="s">
        <v>4053</v>
      </c>
      <c r="E1001" s="3066" t="s">
        <v>6643</v>
      </c>
      <c r="F1001" s="3066" t="s">
        <v>3917</v>
      </c>
      <c r="G1001" s="3066" t="s">
        <v>3560</v>
      </c>
      <c r="H1001" s="3066" t="s">
        <v>3560</v>
      </c>
      <c r="I1001" s="3066" t="s">
        <v>3560</v>
      </c>
      <c r="J1001" s="3066" t="s">
        <v>3560</v>
      </c>
      <c r="K1001" s="3066" t="s">
        <v>3560</v>
      </c>
      <c r="L1001" s="3066" t="s">
        <v>3560</v>
      </c>
      <c r="M1001" s="3066" t="s">
        <v>6644</v>
      </c>
      <c r="N1001" s="3066">
        <v>40.299999999999997</v>
      </c>
      <c r="O1001" s="3066" t="s">
        <v>3560</v>
      </c>
      <c r="P1001" s="3066" t="s">
        <v>3560</v>
      </c>
      <c r="Q1001" s="3066">
        <v>0</v>
      </c>
      <c r="R1001" s="3066">
        <v>0</v>
      </c>
      <c r="S1001" s="3066" t="s">
        <v>3577</v>
      </c>
      <c r="T1001" s="3066">
        <v>0</v>
      </c>
      <c r="U1001" s="3066">
        <v>0</v>
      </c>
      <c r="V1001" s="3066" t="s">
        <v>3560</v>
      </c>
      <c r="W1001" s="3066" t="s">
        <v>3568</v>
      </c>
      <c r="X1001" s="3066">
        <v>0</v>
      </c>
      <c r="Y1001" s="3066">
        <v>0</v>
      </c>
      <c r="Z1001" s="3066" t="s">
        <v>3568</v>
      </c>
      <c r="AA1001" s="3066" t="s">
        <v>3560</v>
      </c>
      <c r="AB1001" s="3066" t="s">
        <v>3560</v>
      </c>
      <c r="AC1001" s="3066" t="s">
        <v>3560</v>
      </c>
      <c r="AD1001" s="3066" t="s">
        <v>3560</v>
      </c>
      <c r="AE1001" s="3066" t="s">
        <v>3560</v>
      </c>
      <c r="AF1001" s="3067">
        <v>0</v>
      </c>
      <c r="AG1001" s="3066">
        <v>0</v>
      </c>
      <c r="AH1001" s="3066">
        <v>0</v>
      </c>
      <c r="AI1001" s="3066">
        <v>0</v>
      </c>
      <c r="AJ1001" s="3066">
        <v>0</v>
      </c>
      <c r="AK1001" s="3066">
        <v>0</v>
      </c>
      <c r="AL1001" s="3066">
        <v>0</v>
      </c>
      <c r="AM1001" s="3066">
        <v>0</v>
      </c>
      <c r="AN1001" s="3066" t="s">
        <v>3560</v>
      </c>
      <c r="AP1001" s="3068">
        <f t="shared" si="15"/>
        <v>0</v>
      </c>
    </row>
    <row r="1002" spans="2:42" ht="27" customHeight="1">
      <c r="B1002" s="3066">
        <v>1133</v>
      </c>
      <c r="C1002" s="3066" t="s">
        <v>3167</v>
      </c>
      <c r="D1002" s="3066" t="s">
        <v>4053</v>
      </c>
      <c r="E1002" s="3066" t="s">
        <v>6645</v>
      </c>
      <c r="F1002" s="3066" t="s">
        <v>3917</v>
      </c>
      <c r="G1002" s="3066" t="s">
        <v>3560</v>
      </c>
      <c r="H1002" s="3066" t="s">
        <v>3560</v>
      </c>
      <c r="I1002" s="3066" t="s">
        <v>3560</v>
      </c>
      <c r="J1002" s="3066" t="s">
        <v>3560</v>
      </c>
      <c r="K1002" s="3066" t="s">
        <v>3560</v>
      </c>
      <c r="L1002" s="3066" t="s">
        <v>3560</v>
      </c>
      <c r="M1002" s="3066" t="s">
        <v>6646</v>
      </c>
      <c r="N1002" s="3066">
        <v>40.299999999999997</v>
      </c>
      <c r="O1002" s="3066" t="s">
        <v>3560</v>
      </c>
      <c r="P1002" s="3066" t="s">
        <v>3560</v>
      </c>
      <c r="Q1002" s="3066">
        <v>0</v>
      </c>
      <c r="R1002" s="3066">
        <v>0</v>
      </c>
      <c r="S1002" s="3066" t="s">
        <v>3577</v>
      </c>
      <c r="T1002" s="3066">
        <v>0</v>
      </c>
      <c r="U1002" s="3066">
        <v>0</v>
      </c>
      <c r="V1002" s="3066" t="s">
        <v>3560</v>
      </c>
      <c r="W1002" s="3066" t="s">
        <v>3568</v>
      </c>
      <c r="X1002" s="3066">
        <v>0</v>
      </c>
      <c r="Y1002" s="3066">
        <v>0</v>
      </c>
      <c r="Z1002" s="3066" t="s">
        <v>3568</v>
      </c>
      <c r="AA1002" s="3066" t="s">
        <v>3560</v>
      </c>
      <c r="AB1002" s="3066" t="s">
        <v>3560</v>
      </c>
      <c r="AC1002" s="3066" t="s">
        <v>3560</v>
      </c>
      <c r="AD1002" s="3066" t="s">
        <v>3560</v>
      </c>
      <c r="AE1002" s="3066" t="s">
        <v>3560</v>
      </c>
      <c r="AF1002" s="3067">
        <v>0</v>
      </c>
      <c r="AG1002" s="3066">
        <v>0</v>
      </c>
      <c r="AH1002" s="3066">
        <v>0</v>
      </c>
      <c r="AI1002" s="3066">
        <v>0</v>
      </c>
      <c r="AJ1002" s="3066">
        <v>0</v>
      </c>
      <c r="AK1002" s="3066">
        <v>0</v>
      </c>
      <c r="AL1002" s="3066">
        <v>0</v>
      </c>
      <c r="AM1002" s="3066">
        <v>0</v>
      </c>
      <c r="AN1002" s="3066" t="s">
        <v>3560</v>
      </c>
      <c r="AP1002" s="3068">
        <f t="shared" si="15"/>
        <v>0</v>
      </c>
    </row>
    <row r="1003" spans="2:42" ht="27" customHeight="1">
      <c r="B1003" s="3066">
        <v>1134</v>
      </c>
      <c r="C1003" s="3066" t="s">
        <v>3167</v>
      </c>
      <c r="D1003" s="3066" t="s">
        <v>4053</v>
      </c>
      <c r="E1003" s="3066" t="s">
        <v>6647</v>
      </c>
      <c r="F1003" s="3066" t="s">
        <v>3917</v>
      </c>
      <c r="G1003" s="3066" t="s">
        <v>3560</v>
      </c>
      <c r="H1003" s="3066" t="s">
        <v>3560</v>
      </c>
      <c r="I1003" s="3066" t="s">
        <v>3560</v>
      </c>
      <c r="J1003" s="3066" t="s">
        <v>3560</v>
      </c>
      <c r="K1003" s="3066" t="s">
        <v>3560</v>
      </c>
      <c r="L1003" s="3066" t="s">
        <v>3560</v>
      </c>
      <c r="M1003" s="3066" t="s">
        <v>6648</v>
      </c>
      <c r="N1003" s="3066">
        <v>40.299999999999997</v>
      </c>
      <c r="O1003" s="3066" t="s">
        <v>3560</v>
      </c>
      <c r="P1003" s="3066" t="s">
        <v>3560</v>
      </c>
      <c r="Q1003" s="3066">
        <v>0</v>
      </c>
      <c r="R1003" s="3066">
        <v>0</v>
      </c>
      <c r="S1003" s="3066" t="s">
        <v>3577</v>
      </c>
      <c r="T1003" s="3066">
        <v>0</v>
      </c>
      <c r="U1003" s="3066">
        <v>0</v>
      </c>
      <c r="V1003" s="3066" t="s">
        <v>3560</v>
      </c>
      <c r="W1003" s="3066" t="s">
        <v>3568</v>
      </c>
      <c r="X1003" s="3066">
        <v>0</v>
      </c>
      <c r="Y1003" s="3066">
        <v>0</v>
      </c>
      <c r="Z1003" s="3066" t="s">
        <v>3568</v>
      </c>
      <c r="AA1003" s="3066" t="s">
        <v>3560</v>
      </c>
      <c r="AB1003" s="3066" t="s">
        <v>3560</v>
      </c>
      <c r="AC1003" s="3066" t="s">
        <v>3560</v>
      </c>
      <c r="AD1003" s="3066" t="s">
        <v>3560</v>
      </c>
      <c r="AE1003" s="3066" t="s">
        <v>3560</v>
      </c>
      <c r="AF1003" s="3067">
        <v>0</v>
      </c>
      <c r="AG1003" s="3066">
        <v>0</v>
      </c>
      <c r="AH1003" s="3066">
        <v>0</v>
      </c>
      <c r="AI1003" s="3066">
        <v>0</v>
      </c>
      <c r="AJ1003" s="3066">
        <v>0</v>
      </c>
      <c r="AK1003" s="3066">
        <v>0</v>
      </c>
      <c r="AL1003" s="3066">
        <v>0</v>
      </c>
      <c r="AM1003" s="3066">
        <v>0</v>
      </c>
      <c r="AN1003" s="3066" t="s">
        <v>3560</v>
      </c>
      <c r="AP1003" s="3068">
        <f t="shared" si="15"/>
        <v>0</v>
      </c>
    </row>
    <row r="1004" spans="2:42" ht="27" customHeight="1">
      <c r="B1004" s="3066">
        <v>1135</v>
      </c>
      <c r="C1004" s="3066" t="s">
        <v>3167</v>
      </c>
      <c r="D1004" s="3066" t="s">
        <v>4053</v>
      </c>
      <c r="E1004" s="3066" t="s">
        <v>6649</v>
      </c>
      <c r="F1004" s="3066" t="s">
        <v>3917</v>
      </c>
      <c r="G1004" s="3066" t="s">
        <v>3560</v>
      </c>
      <c r="H1004" s="3066" t="s">
        <v>3560</v>
      </c>
      <c r="I1004" s="3066" t="s">
        <v>3560</v>
      </c>
      <c r="J1004" s="3066" t="s">
        <v>3560</v>
      </c>
      <c r="K1004" s="3066" t="s">
        <v>3560</v>
      </c>
      <c r="L1004" s="3066" t="s">
        <v>3560</v>
      </c>
      <c r="M1004" s="3066" t="s">
        <v>6650</v>
      </c>
      <c r="N1004" s="3066">
        <v>40.299999999999997</v>
      </c>
      <c r="O1004" s="3066" t="s">
        <v>3560</v>
      </c>
      <c r="P1004" s="3066" t="s">
        <v>3560</v>
      </c>
      <c r="Q1004" s="3066">
        <v>0</v>
      </c>
      <c r="R1004" s="3066">
        <v>0</v>
      </c>
      <c r="S1004" s="3066" t="s">
        <v>3577</v>
      </c>
      <c r="T1004" s="3066">
        <v>0</v>
      </c>
      <c r="U1004" s="3066">
        <v>0</v>
      </c>
      <c r="V1004" s="3066" t="s">
        <v>3560</v>
      </c>
      <c r="W1004" s="3066" t="s">
        <v>3568</v>
      </c>
      <c r="X1004" s="3066">
        <v>0</v>
      </c>
      <c r="Y1004" s="3066">
        <v>0</v>
      </c>
      <c r="Z1004" s="3066" t="s">
        <v>3568</v>
      </c>
      <c r="AA1004" s="3066" t="s">
        <v>3560</v>
      </c>
      <c r="AB1004" s="3066" t="s">
        <v>3560</v>
      </c>
      <c r="AC1004" s="3066" t="s">
        <v>3560</v>
      </c>
      <c r="AD1004" s="3066" t="s">
        <v>3560</v>
      </c>
      <c r="AE1004" s="3066" t="s">
        <v>3560</v>
      </c>
      <c r="AF1004" s="3067">
        <v>0</v>
      </c>
      <c r="AG1004" s="3066">
        <v>0</v>
      </c>
      <c r="AH1004" s="3066">
        <v>0</v>
      </c>
      <c r="AI1004" s="3066">
        <v>0</v>
      </c>
      <c r="AJ1004" s="3066">
        <v>0</v>
      </c>
      <c r="AK1004" s="3066">
        <v>0</v>
      </c>
      <c r="AL1004" s="3066">
        <v>0</v>
      </c>
      <c r="AM1004" s="3066">
        <v>0</v>
      </c>
      <c r="AN1004" s="3066" t="s">
        <v>3560</v>
      </c>
      <c r="AP1004" s="3068">
        <f t="shared" si="15"/>
        <v>0</v>
      </c>
    </row>
    <row r="1005" spans="2:42" ht="27" customHeight="1">
      <c r="B1005" s="3066">
        <v>1136</v>
      </c>
      <c r="C1005" s="3066" t="s">
        <v>3167</v>
      </c>
      <c r="D1005" s="3066" t="s">
        <v>4053</v>
      </c>
      <c r="E1005" s="3066" t="s">
        <v>6651</v>
      </c>
      <c r="F1005" s="3066" t="s">
        <v>3917</v>
      </c>
      <c r="G1005" s="3066" t="s">
        <v>3560</v>
      </c>
      <c r="H1005" s="3066" t="s">
        <v>3560</v>
      </c>
      <c r="I1005" s="3066" t="s">
        <v>3560</v>
      </c>
      <c r="J1005" s="3066" t="s">
        <v>3560</v>
      </c>
      <c r="K1005" s="3066" t="s">
        <v>3560</v>
      </c>
      <c r="L1005" s="3066" t="s">
        <v>3560</v>
      </c>
      <c r="M1005" s="3066" t="s">
        <v>6652</v>
      </c>
      <c r="N1005" s="3066">
        <v>40.299999999999997</v>
      </c>
      <c r="O1005" s="3066" t="s">
        <v>3560</v>
      </c>
      <c r="P1005" s="3066" t="s">
        <v>3560</v>
      </c>
      <c r="Q1005" s="3066">
        <v>0</v>
      </c>
      <c r="R1005" s="3066">
        <v>0</v>
      </c>
      <c r="S1005" s="3066" t="s">
        <v>3577</v>
      </c>
      <c r="T1005" s="3066">
        <v>0</v>
      </c>
      <c r="U1005" s="3066">
        <v>0</v>
      </c>
      <c r="V1005" s="3066" t="s">
        <v>3560</v>
      </c>
      <c r="W1005" s="3066" t="s">
        <v>3568</v>
      </c>
      <c r="X1005" s="3066">
        <v>0</v>
      </c>
      <c r="Y1005" s="3066">
        <v>0</v>
      </c>
      <c r="Z1005" s="3066" t="s">
        <v>3568</v>
      </c>
      <c r="AA1005" s="3066" t="s">
        <v>3560</v>
      </c>
      <c r="AB1005" s="3066" t="s">
        <v>3560</v>
      </c>
      <c r="AC1005" s="3066" t="s">
        <v>3560</v>
      </c>
      <c r="AD1005" s="3066" t="s">
        <v>3560</v>
      </c>
      <c r="AE1005" s="3066" t="s">
        <v>3560</v>
      </c>
      <c r="AF1005" s="3067">
        <v>0</v>
      </c>
      <c r="AG1005" s="3066">
        <v>0</v>
      </c>
      <c r="AH1005" s="3066">
        <v>0</v>
      </c>
      <c r="AI1005" s="3066">
        <v>0</v>
      </c>
      <c r="AJ1005" s="3066">
        <v>0</v>
      </c>
      <c r="AK1005" s="3066">
        <v>0</v>
      </c>
      <c r="AL1005" s="3066">
        <v>0</v>
      </c>
      <c r="AM1005" s="3066">
        <v>0</v>
      </c>
      <c r="AN1005" s="3066" t="s">
        <v>3560</v>
      </c>
      <c r="AP1005" s="3068">
        <f t="shared" si="15"/>
        <v>0</v>
      </c>
    </row>
    <row r="1006" spans="2:42" ht="27" customHeight="1">
      <c r="B1006" s="3066">
        <v>1137</v>
      </c>
      <c r="C1006" s="3066" t="s">
        <v>3167</v>
      </c>
      <c r="D1006" s="3066" t="s">
        <v>4053</v>
      </c>
      <c r="E1006" s="3066" t="s">
        <v>6653</v>
      </c>
      <c r="F1006" s="3066" t="s">
        <v>3917</v>
      </c>
      <c r="G1006" s="3066" t="s">
        <v>3560</v>
      </c>
      <c r="H1006" s="3066" t="s">
        <v>3560</v>
      </c>
      <c r="I1006" s="3066" t="s">
        <v>3560</v>
      </c>
      <c r="J1006" s="3066" t="s">
        <v>3560</v>
      </c>
      <c r="K1006" s="3066" t="s">
        <v>3560</v>
      </c>
      <c r="L1006" s="3066" t="s">
        <v>3560</v>
      </c>
      <c r="M1006" s="3066" t="s">
        <v>6654</v>
      </c>
      <c r="N1006" s="3066">
        <v>40.299999999999997</v>
      </c>
      <c r="O1006" s="3066" t="s">
        <v>3560</v>
      </c>
      <c r="P1006" s="3066" t="s">
        <v>3560</v>
      </c>
      <c r="Q1006" s="3066">
        <v>0</v>
      </c>
      <c r="R1006" s="3066">
        <v>0</v>
      </c>
      <c r="S1006" s="3066" t="s">
        <v>3577</v>
      </c>
      <c r="T1006" s="3066">
        <v>0</v>
      </c>
      <c r="U1006" s="3066">
        <v>0</v>
      </c>
      <c r="V1006" s="3066" t="s">
        <v>3560</v>
      </c>
      <c r="W1006" s="3066" t="s">
        <v>3568</v>
      </c>
      <c r="X1006" s="3066">
        <v>0</v>
      </c>
      <c r="Y1006" s="3066">
        <v>0</v>
      </c>
      <c r="Z1006" s="3066" t="s">
        <v>3568</v>
      </c>
      <c r="AA1006" s="3066" t="s">
        <v>3560</v>
      </c>
      <c r="AB1006" s="3066" t="s">
        <v>3560</v>
      </c>
      <c r="AC1006" s="3066" t="s">
        <v>3560</v>
      </c>
      <c r="AD1006" s="3066" t="s">
        <v>3560</v>
      </c>
      <c r="AE1006" s="3066" t="s">
        <v>3560</v>
      </c>
      <c r="AF1006" s="3067">
        <v>0</v>
      </c>
      <c r="AG1006" s="3066">
        <v>0</v>
      </c>
      <c r="AH1006" s="3066">
        <v>0</v>
      </c>
      <c r="AI1006" s="3066">
        <v>0</v>
      </c>
      <c r="AJ1006" s="3066">
        <v>0</v>
      </c>
      <c r="AK1006" s="3066">
        <v>0</v>
      </c>
      <c r="AL1006" s="3066">
        <v>0</v>
      </c>
      <c r="AM1006" s="3066">
        <v>0</v>
      </c>
      <c r="AN1006" s="3066" t="s">
        <v>3560</v>
      </c>
      <c r="AP1006" s="3068">
        <f t="shared" si="15"/>
        <v>0</v>
      </c>
    </row>
    <row r="1007" spans="2:42" ht="27" customHeight="1">
      <c r="B1007" s="3066">
        <v>1138</v>
      </c>
      <c r="C1007" s="3066" t="s">
        <v>3167</v>
      </c>
      <c r="D1007" s="3066" t="s">
        <v>4053</v>
      </c>
      <c r="E1007" s="3066" t="s">
        <v>6655</v>
      </c>
      <c r="F1007" s="3066" t="s">
        <v>3917</v>
      </c>
      <c r="G1007" s="3066" t="s">
        <v>3560</v>
      </c>
      <c r="H1007" s="3066" t="s">
        <v>3560</v>
      </c>
      <c r="I1007" s="3066" t="s">
        <v>3560</v>
      </c>
      <c r="J1007" s="3066" t="s">
        <v>3560</v>
      </c>
      <c r="K1007" s="3066" t="s">
        <v>3560</v>
      </c>
      <c r="L1007" s="3066" t="s">
        <v>3560</v>
      </c>
      <c r="M1007" s="3066" t="s">
        <v>6656</v>
      </c>
      <c r="N1007" s="3066">
        <v>40.299999999999997</v>
      </c>
      <c r="O1007" s="3066" t="s">
        <v>3560</v>
      </c>
      <c r="P1007" s="3066" t="s">
        <v>3560</v>
      </c>
      <c r="Q1007" s="3066">
        <v>0</v>
      </c>
      <c r="R1007" s="3066">
        <v>0</v>
      </c>
      <c r="S1007" s="3066" t="s">
        <v>3577</v>
      </c>
      <c r="T1007" s="3066">
        <v>0</v>
      </c>
      <c r="U1007" s="3066">
        <v>0</v>
      </c>
      <c r="V1007" s="3066" t="s">
        <v>3560</v>
      </c>
      <c r="W1007" s="3066" t="s">
        <v>3568</v>
      </c>
      <c r="X1007" s="3066">
        <v>0</v>
      </c>
      <c r="Y1007" s="3066">
        <v>0</v>
      </c>
      <c r="Z1007" s="3066" t="s">
        <v>3568</v>
      </c>
      <c r="AA1007" s="3066" t="s">
        <v>3560</v>
      </c>
      <c r="AB1007" s="3066" t="s">
        <v>3560</v>
      </c>
      <c r="AC1007" s="3066" t="s">
        <v>3560</v>
      </c>
      <c r="AD1007" s="3066" t="s">
        <v>3560</v>
      </c>
      <c r="AE1007" s="3066" t="s">
        <v>3560</v>
      </c>
      <c r="AF1007" s="3067">
        <v>0</v>
      </c>
      <c r="AG1007" s="3066">
        <v>0</v>
      </c>
      <c r="AH1007" s="3066">
        <v>0</v>
      </c>
      <c r="AI1007" s="3066">
        <v>0</v>
      </c>
      <c r="AJ1007" s="3066">
        <v>0</v>
      </c>
      <c r="AK1007" s="3066">
        <v>0</v>
      </c>
      <c r="AL1007" s="3066">
        <v>0</v>
      </c>
      <c r="AM1007" s="3066">
        <v>0</v>
      </c>
      <c r="AN1007" s="3066" t="s">
        <v>3560</v>
      </c>
      <c r="AP1007" s="3068">
        <f t="shared" si="15"/>
        <v>0</v>
      </c>
    </row>
    <row r="1008" spans="2:42" ht="27" customHeight="1">
      <c r="B1008" s="3066">
        <v>1139</v>
      </c>
      <c r="C1008" s="3066" t="s">
        <v>3167</v>
      </c>
      <c r="D1008" s="3066" t="s">
        <v>4053</v>
      </c>
      <c r="E1008" s="3066" t="s">
        <v>6657</v>
      </c>
      <c r="F1008" s="3066" t="s">
        <v>3917</v>
      </c>
      <c r="G1008" s="3066" t="s">
        <v>3560</v>
      </c>
      <c r="H1008" s="3066" t="s">
        <v>3560</v>
      </c>
      <c r="I1008" s="3066" t="s">
        <v>3560</v>
      </c>
      <c r="J1008" s="3066" t="s">
        <v>3560</v>
      </c>
      <c r="K1008" s="3066" t="s">
        <v>3560</v>
      </c>
      <c r="L1008" s="3066" t="s">
        <v>3560</v>
      </c>
      <c r="M1008" s="3066" t="s">
        <v>6658</v>
      </c>
      <c r="N1008" s="3066">
        <v>40.299999999999997</v>
      </c>
      <c r="O1008" s="3066" t="s">
        <v>3560</v>
      </c>
      <c r="P1008" s="3066" t="s">
        <v>3560</v>
      </c>
      <c r="Q1008" s="3066">
        <v>0</v>
      </c>
      <c r="R1008" s="3066">
        <v>0</v>
      </c>
      <c r="S1008" s="3066" t="s">
        <v>3577</v>
      </c>
      <c r="T1008" s="3066">
        <v>0</v>
      </c>
      <c r="U1008" s="3066">
        <v>0</v>
      </c>
      <c r="V1008" s="3066" t="s">
        <v>3560</v>
      </c>
      <c r="W1008" s="3066" t="s">
        <v>3568</v>
      </c>
      <c r="X1008" s="3066">
        <v>0</v>
      </c>
      <c r="Y1008" s="3066">
        <v>0</v>
      </c>
      <c r="Z1008" s="3066" t="s">
        <v>3568</v>
      </c>
      <c r="AA1008" s="3066" t="s">
        <v>3560</v>
      </c>
      <c r="AB1008" s="3066" t="s">
        <v>3560</v>
      </c>
      <c r="AC1008" s="3066" t="s">
        <v>3560</v>
      </c>
      <c r="AD1008" s="3066" t="s">
        <v>3560</v>
      </c>
      <c r="AE1008" s="3066" t="s">
        <v>3560</v>
      </c>
      <c r="AF1008" s="3067">
        <v>0</v>
      </c>
      <c r="AG1008" s="3066">
        <v>0</v>
      </c>
      <c r="AH1008" s="3066">
        <v>0</v>
      </c>
      <c r="AI1008" s="3066">
        <v>0</v>
      </c>
      <c r="AJ1008" s="3066">
        <v>0</v>
      </c>
      <c r="AK1008" s="3066">
        <v>0</v>
      </c>
      <c r="AL1008" s="3066">
        <v>0</v>
      </c>
      <c r="AM1008" s="3066">
        <v>0</v>
      </c>
      <c r="AN1008" s="3066" t="s">
        <v>3560</v>
      </c>
      <c r="AP1008" s="3068">
        <f t="shared" si="15"/>
        <v>0</v>
      </c>
    </row>
    <row r="1009" spans="2:42" ht="27" customHeight="1">
      <c r="B1009" s="3066">
        <v>1140</v>
      </c>
      <c r="C1009" s="3066" t="s">
        <v>3167</v>
      </c>
      <c r="D1009" s="3066" t="s">
        <v>4053</v>
      </c>
      <c r="E1009" s="3066" t="s">
        <v>6659</v>
      </c>
      <c r="F1009" s="3066" t="s">
        <v>3917</v>
      </c>
      <c r="G1009" s="3066" t="s">
        <v>3560</v>
      </c>
      <c r="H1009" s="3066" t="s">
        <v>3560</v>
      </c>
      <c r="I1009" s="3066" t="s">
        <v>3560</v>
      </c>
      <c r="J1009" s="3066" t="s">
        <v>3560</v>
      </c>
      <c r="K1009" s="3066" t="s">
        <v>3560</v>
      </c>
      <c r="L1009" s="3066" t="s">
        <v>3560</v>
      </c>
      <c r="M1009" s="3066" t="s">
        <v>6660</v>
      </c>
      <c r="N1009" s="3066">
        <v>40.299999999999997</v>
      </c>
      <c r="O1009" s="3066" t="s">
        <v>3560</v>
      </c>
      <c r="P1009" s="3066" t="s">
        <v>3560</v>
      </c>
      <c r="Q1009" s="3066">
        <v>0</v>
      </c>
      <c r="R1009" s="3066">
        <v>0</v>
      </c>
      <c r="S1009" s="3066" t="s">
        <v>3577</v>
      </c>
      <c r="T1009" s="3066">
        <v>0</v>
      </c>
      <c r="U1009" s="3066">
        <v>0</v>
      </c>
      <c r="V1009" s="3066" t="s">
        <v>3560</v>
      </c>
      <c r="W1009" s="3066" t="s">
        <v>3568</v>
      </c>
      <c r="X1009" s="3066">
        <v>0</v>
      </c>
      <c r="Y1009" s="3066">
        <v>0</v>
      </c>
      <c r="Z1009" s="3066" t="s">
        <v>3568</v>
      </c>
      <c r="AA1009" s="3066" t="s">
        <v>3560</v>
      </c>
      <c r="AB1009" s="3066" t="s">
        <v>3560</v>
      </c>
      <c r="AC1009" s="3066" t="s">
        <v>3560</v>
      </c>
      <c r="AD1009" s="3066" t="s">
        <v>3560</v>
      </c>
      <c r="AE1009" s="3066" t="s">
        <v>3560</v>
      </c>
      <c r="AF1009" s="3067">
        <v>0</v>
      </c>
      <c r="AG1009" s="3066">
        <v>0</v>
      </c>
      <c r="AH1009" s="3066">
        <v>0</v>
      </c>
      <c r="AI1009" s="3066">
        <v>0</v>
      </c>
      <c r="AJ1009" s="3066">
        <v>0</v>
      </c>
      <c r="AK1009" s="3066">
        <v>0</v>
      </c>
      <c r="AL1009" s="3066">
        <v>0</v>
      </c>
      <c r="AM1009" s="3066">
        <v>0</v>
      </c>
      <c r="AN1009" s="3066" t="s">
        <v>3560</v>
      </c>
      <c r="AP1009" s="3068">
        <f t="shared" si="15"/>
        <v>0</v>
      </c>
    </row>
    <row r="1010" spans="2:42" ht="27" customHeight="1">
      <c r="B1010" s="3066">
        <v>1141</v>
      </c>
      <c r="C1010" s="3066" t="s">
        <v>3167</v>
      </c>
      <c r="D1010" s="3066" t="s">
        <v>4053</v>
      </c>
      <c r="E1010" s="3066" t="s">
        <v>6661</v>
      </c>
      <c r="F1010" s="3066" t="s">
        <v>3917</v>
      </c>
      <c r="G1010" s="3066" t="s">
        <v>3560</v>
      </c>
      <c r="H1010" s="3066" t="s">
        <v>3560</v>
      </c>
      <c r="I1010" s="3066" t="s">
        <v>3560</v>
      </c>
      <c r="J1010" s="3066" t="s">
        <v>3560</v>
      </c>
      <c r="K1010" s="3066" t="s">
        <v>3560</v>
      </c>
      <c r="L1010" s="3066" t="s">
        <v>3560</v>
      </c>
      <c r="M1010" s="3066" t="s">
        <v>6662</v>
      </c>
      <c r="N1010" s="3066">
        <v>40.299999999999997</v>
      </c>
      <c r="O1010" s="3066" t="s">
        <v>3560</v>
      </c>
      <c r="P1010" s="3066" t="s">
        <v>3560</v>
      </c>
      <c r="Q1010" s="3066">
        <v>0</v>
      </c>
      <c r="R1010" s="3066">
        <v>0</v>
      </c>
      <c r="S1010" s="3066" t="s">
        <v>3577</v>
      </c>
      <c r="T1010" s="3066">
        <v>0</v>
      </c>
      <c r="U1010" s="3066">
        <v>0</v>
      </c>
      <c r="V1010" s="3066" t="s">
        <v>3560</v>
      </c>
      <c r="W1010" s="3066" t="s">
        <v>3568</v>
      </c>
      <c r="X1010" s="3066">
        <v>0</v>
      </c>
      <c r="Y1010" s="3066">
        <v>0</v>
      </c>
      <c r="Z1010" s="3066" t="s">
        <v>3568</v>
      </c>
      <c r="AA1010" s="3066" t="s">
        <v>3560</v>
      </c>
      <c r="AB1010" s="3066" t="s">
        <v>3560</v>
      </c>
      <c r="AC1010" s="3066" t="s">
        <v>3560</v>
      </c>
      <c r="AD1010" s="3066" t="s">
        <v>3560</v>
      </c>
      <c r="AE1010" s="3066" t="s">
        <v>3560</v>
      </c>
      <c r="AF1010" s="3067">
        <v>0</v>
      </c>
      <c r="AG1010" s="3066">
        <v>0</v>
      </c>
      <c r="AH1010" s="3066">
        <v>0</v>
      </c>
      <c r="AI1010" s="3066">
        <v>0</v>
      </c>
      <c r="AJ1010" s="3066">
        <v>0</v>
      </c>
      <c r="AK1010" s="3066">
        <v>0</v>
      </c>
      <c r="AL1010" s="3066">
        <v>0</v>
      </c>
      <c r="AM1010" s="3066">
        <v>0</v>
      </c>
      <c r="AN1010" s="3066" t="s">
        <v>3560</v>
      </c>
      <c r="AP1010" s="3068">
        <f t="shared" si="15"/>
        <v>0</v>
      </c>
    </row>
    <row r="1011" spans="2:42" ht="27" customHeight="1">
      <c r="B1011" s="3066">
        <v>1142</v>
      </c>
      <c r="C1011" s="3066" t="s">
        <v>3167</v>
      </c>
      <c r="D1011" s="3066" t="s">
        <v>4053</v>
      </c>
      <c r="E1011" s="3066" t="s">
        <v>6663</v>
      </c>
      <c r="F1011" s="3066" t="s">
        <v>3917</v>
      </c>
      <c r="G1011" s="3066" t="s">
        <v>3560</v>
      </c>
      <c r="H1011" s="3066" t="s">
        <v>3560</v>
      </c>
      <c r="I1011" s="3066" t="s">
        <v>3560</v>
      </c>
      <c r="J1011" s="3066" t="s">
        <v>3560</v>
      </c>
      <c r="K1011" s="3066" t="s">
        <v>3560</v>
      </c>
      <c r="L1011" s="3066" t="s">
        <v>3560</v>
      </c>
      <c r="M1011" s="3066" t="s">
        <v>6664</v>
      </c>
      <c r="N1011" s="3066">
        <v>46.3</v>
      </c>
      <c r="O1011" s="3066" t="s">
        <v>3560</v>
      </c>
      <c r="P1011" s="3066" t="s">
        <v>3560</v>
      </c>
      <c r="Q1011" s="3066">
        <v>0</v>
      </c>
      <c r="R1011" s="3066">
        <v>0</v>
      </c>
      <c r="S1011" s="3066" t="s">
        <v>3577</v>
      </c>
      <c r="T1011" s="3066">
        <v>0</v>
      </c>
      <c r="U1011" s="3066">
        <v>0</v>
      </c>
      <c r="V1011" s="3066" t="s">
        <v>3560</v>
      </c>
      <c r="W1011" s="3066" t="s">
        <v>3568</v>
      </c>
      <c r="X1011" s="3066">
        <v>0</v>
      </c>
      <c r="Y1011" s="3066">
        <v>0</v>
      </c>
      <c r="Z1011" s="3066" t="s">
        <v>3568</v>
      </c>
      <c r="AA1011" s="3066" t="s">
        <v>3560</v>
      </c>
      <c r="AB1011" s="3066" t="s">
        <v>3560</v>
      </c>
      <c r="AC1011" s="3066" t="s">
        <v>3560</v>
      </c>
      <c r="AD1011" s="3066" t="s">
        <v>3560</v>
      </c>
      <c r="AE1011" s="3066" t="s">
        <v>3560</v>
      </c>
      <c r="AF1011" s="3067">
        <v>0</v>
      </c>
      <c r="AG1011" s="3066">
        <v>0</v>
      </c>
      <c r="AH1011" s="3066">
        <v>0</v>
      </c>
      <c r="AI1011" s="3066">
        <v>0</v>
      </c>
      <c r="AJ1011" s="3066">
        <v>0</v>
      </c>
      <c r="AK1011" s="3066">
        <v>0</v>
      </c>
      <c r="AL1011" s="3066">
        <v>0</v>
      </c>
      <c r="AM1011" s="3066">
        <v>0</v>
      </c>
      <c r="AN1011" s="3066" t="s">
        <v>3560</v>
      </c>
      <c r="AP1011" s="3068">
        <f t="shared" si="15"/>
        <v>0</v>
      </c>
    </row>
    <row r="1012" spans="2:42" ht="27" customHeight="1">
      <c r="B1012" s="3066">
        <v>1143</v>
      </c>
      <c r="C1012" s="3066" t="s">
        <v>3121</v>
      </c>
      <c r="D1012" s="3066" t="s">
        <v>3560</v>
      </c>
      <c r="E1012" s="3066" t="s">
        <v>6665</v>
      </c>
      <c r="F1012" s="3066" t="s">
        <v>3559</v>
      </c>
      <c r="G1012" s="3066" t="s">
        <v>1373</v>
      </c>
      <c r="H1012" s="3066" t="s">
        <v>3560</v>
      </c>
      <c r="I1012" s="3066" t="s">
        <v>3593</v>
      </c>
      <c r="J1012" s="3066" t="s">
        <v>3594</v>
      </c>
      <c r="K1012" s="3066" t="s">
        <v>3560</v>
      </c>
      <c r="L1012" s="3066" t="s">
        <v>3595</v>
      </c>
      <c r="M1012" s="3066" t="s">
        <v>6666</v>
      </c>
      <c r="N1012" s="3066">
        <v>1287.5</v>
      </c>
      <c r="O1012" s="3066" t="s">
        <v>3619</v>
      </c>
      <c r="P1012" s="3066" t="s">
        <v>3566</v>
      </c>
      <c r="Q1012" s="3066">
        <v>1</v>
      </c>
      <c r="R1012" s="3066">
        <v>102356.25</v>
      </c>
      <c r="S1012" s="3066" t="s">
        <v>3567</v>
      </c>
      <c r="T1012" s="3066">
        <v>24</v>
      </c>
      <c r="U1012" s="3066">
        <v>30900</v>
      </c>
      <c r="V1012" s="3066" t="s">
        <v>3560</v>
      </c>
      <c r="W1012" s="3066" t="s">
        <v>3568</v>
      </c>
      <c r="X1012" s="3066">
        <v>2.5</v>
      </c>
      <c r="Y1012" s="3066">
        <v>38625</v>
      </c>
      <c r="Z1012" s="3066" t="s">
        <v>3568</v>
      </c>
      <c r="AA1012" s="3066" t="s">
        <v>3560</v>
      </c>
      <c r="AB1012" s="3066" t="s">
        <v>3584</v>
      </c>
      <c r="AC1012" s="3066" t="s">
        <v>3584</v>
      </c>
      <c r="AD1012" s="3066" t="s">
        <v>3584</v>
      </c>
      <c r="AE1012" s="3066" t="s">
        <v>3560</v>
      </c>
      <c r="AF1012" s="3067">
        <v>30900</v>
      </c>
      <c r="AG1012" s="3066">
        <v>0</v>
      </c>
      <c r="AH1012" s="3066">
        <v>3218.75</v>
      </c>
      <c r="AI1012" s="3066">
        <v>0</v>
      </c>
      <c r="AJ1012" s="3066">
        <v>1003.46</v>
      </c>
      <c r="AK1012" s="3066">
        <v>0</v>
      </c>
      <c r="AL1012" s="3066">
        <v>35122.21</v>
      </c>
      <c r="AM1012" s="3066">
        <v>0</v>
      </c>
      <c r="AN1012" s="3066" t="s">
        <v>3560</v>
      </c>
      <c r="AP1012" s="3068">
        <f t="shared" si="15"/>
        <v>24</v>
      </c>
    </row>
    <row r="1013" spans="2:42" ht="27" customHeight="1">
      <c r="B1013" s="3066">
        <v>1145</v>
      </c>
      <c r="C1013" s="3066" t="s">
        <v>3877</v>
      </c>
      <c r="D1013" s="3066" t="s">
        <v>3560</v>
      </c>
      <c r="E1013" s="3066" t="s">
        <v>6667</v>
      </c>
      <c r="F1013" s="3066" t="s">
        <v>3559</v>
      </c>
      <c r="G1013" s="3066" t="s">
        <v>1373</v>
      </c>
      <c r="H1013" s="3066" t="s">
        <v>3560</v>
      </c>
      <c r="I1013" s="3066" t="s">
        <v>3879</v>
      </c>
      <c r="J1013" s="3066" t="s">
        <v>3880</v>
      </c>
      <c r="K1013" s="3066" t="s">
        <v>3560</v>
      </c>
      <c r="L1013" s="3066" t="s">
        <v>3881</v>
      </c>
      <c r="M1013" s="3066" t="s">
        <v>6667</v>
      </c>
      <c r="N1013" s="3066">
        <v>133.19999999999999</v>
      </c>
      <c r="O1013" s="3066" t="s">
        <v>6668</v>
      </c>
      <c r="P1013" s="3066" t="s">
        <v>3566</v>
      </c>
      <c r="Q1013" s="3066">
        <v>2</v>
      </c>
      <c r="R1013" s="3066">
        <v>6993</v>
      </c>
      <c r="S1013" s="3066" t="s">
        <v>3567</v>
      </c>
      <c r="T1013" s="3066">
        <v>15</v>
      </c>
      <c r="U1013" s="3066">
        <v>1998</v>
      </c>
      <c r="V1013" s="3066" t="s">
        <v>3560</v>
      </c>
      <c r="W1013" s="3066" t="s">
        <v>3568</v>
      </c>
      <c r="X1013" s="3066">
        <v>2.5</v>
      </c>
      <c r="Y1013" s="3066">
        <v>3996</v>
      </c>
      <c r="Z1013" s="3066" t="s">
        <v>3568</v>
      </c>
      <c r="AA1013" s="3066" t="s">
        <v>3560</v>
      </c>
      <c r="AB1013" s="3066" t="s">
        <v>3811</v>
      </c>
      <c r="AC1013" s="3066" t="s">
        <v>3811</v>
      </c>
      <c r="AD1013" s="3066" t="s">
        <v>3811</v>
      </c>
      <c r="AE1013" s="3066" t="s">
        <v>3560</v>
      </c>
      <c r="AF1013" s="3067">
        <v>1998</v>
      </c>
      <c r="AG1013" s="3066">
        <v>1998</v>
      </c>
      <c r="AH1013" s="3066">
        <v>333</v>
      </c>
      <c r="AI1013" s="3066">
        <v>333</v>
      </c>
      <c r="AJ1013" s="3066">
        <v>0</v>
      </c>
      <c r="AK1013" s="3066">
        <v>0</v>
      </c>
      <c r="AL1013" s="3066">
        <v>2331</v>
      </c>
      <c r="AM1013" s="3066">
        <v>2331</v>
      </c>
      <c r="AN1013" s="3066" t="s">
        <v>3560</v>
      </c>
      <c r="AP1013" s="3068">
        <f t="shared" si="15"/>
        <v>15.000000000000002</v>
      </c>
    </row>
    <row r="1014" spans="2:42" ht="27" customHeight="1">
      <c r="B1014" s="3066">
        <v>1147</v>
      </c>
      <c r="C1014" s="3066" t="s">
        <v>3874</v>
      </c>
      <c r="D1014" s="3066" t="s">
        <v>3560</v>
      </c>
      <c r="E1014" s="3066" t="s">
        <v>6669</v>
      </c>
      <c r="F1014" s="3066" t="s">
        <v>3559</v>
      </c>
      <c r="G1014" s="3066" t="s">
        <v>1373</v>
      </c>
      <c r="H1014" s="3066" t="s">
        <v>3560</v>
      </c>
      <c r="I1014" s="3066" t="s">
        <v>5574</v>
      </c>
      <c r="J1014" s="3066" t="s">
        <v>5575</v>
      </c>
      <c r="K1014" s="3066" t="s">
        <v>3560</v>
      </c>
      <c r="L1014" s="3066" t="s">
        <v>5576</v>
      </c>
      <c r="M1014" s="3066" t="s">
        <v>6670</v>
      </c>
      <c r="N1014" s="3066">
        <v>80</v>
      </c>
      <c r="O1014" s="3066" t="s">
        <v>3810</v>
      </c>
      <c r="P1014" s="3066" t="s">
        <v>3566</v>
      </c>
      <c r="Q1014" s="3066">
        <v>2</v>
      </c>
      <c r="R1014" s="3066">
        <v>7650</v>
      </c>
      <c r="S1014" s="3066" t="s">
        <v>3567</v>
      </c>
      <c r="T1014" s="3066">
        <v>23</v>
      </c>
      <c r="U1014" s="3066">
        <v>1840</v>
      </c>
      <c r="V1014" s="3066" t="s">
        <v>3560</v>
      </c>
      <c r="W1014" s="3066" t="s">
        <v>3568</v>
      </c>
      <c r="X1014" s="3066">
        <v>2.5</v>
      </c>
      <c r="Y1014" s="3066">
        <v>2400</v>
      </c>
      <c r="Z1014" s="3066" t="s">
        <v>3568</v>
      </c>
      <c r="AA1014" s="3066" t="s">
        <v>3560</v>
      </c>
      <c r="AB1014" s="3066" t="s">
        <v>3811</v>
      </c>
      <c r="AC1014" s="3066" t="s">
        <v>3811</v>
      </c>
      <c r="AD1014" s="3066" t="s">
        <v>3811</v>
      </c>
      <c r="AE1014" s="3066" t="s">
        <v>3560</v>
      </c>
      <c r="AF1014" s="3067">
        <v>1840</v>
      </c>
      <c r="AG1014" s="3066">
        <v>0</v>
      </c>
      <c r="AH1014" s="3066">
        <v>200</v>
      </c>
      <c r="AI1014" s="3066">
        <v>0</v>
      </c>
      <c r="AJ1014" s="3066">
        <v>801.67</v>
      </c>
      <c r="AK1014" s="3066">
        <v>0</v>
      </c>
      <c r="AL1014" s="3066">
        <v>2841.67</v>
      </c>
      <c r="AM1014" s="3066">
        <v>0</v>
      </c>
      <c r="AN1014" s="3066" t="s">
        <v>3560</v>
      </c>
      <c r="AP1014" s="3068">
        <f t="shared" si="15"/>
        <v>23</v>
      </c>
    </row>
    <row r="1015" spans="2:42" ht="27" customHeight="1">
      <c r="B1015" s="3066">
        <v>1148</v>
      </c>
      <c r="C1015" s="3066" t="s">
        <v>3874</v>
      </c>
      <c r="D1015" s="3066" t="s">
        <v>3560</v>
      </c>
      <c r="E1015" s="3066" t="s">
        <v>6671</v>
      </c>
      <c r="F1015" s="3066" t="s">
        <v>3559</v>
      </c>
      <c r="G1015" s="3066" t="s">
        <v>3560</v>
      </c>
      <c r="H1015" s="3066" t="s">
        <v>3560</v>
      </c>
      <c r="I1015" s="3066" t="s">
        <v>5786</v>
      </c>
      <c r="J1015" s="3066" t="s">
        <v>5575</v>
      </c>
      <c r="K1015" s="3066" t="s">
        <v>3560</v>
      </c>
      <c r="L1015" s="3066" t="s">
        <v>5576</v>
      </c>
      <c r="M1015" s="3066" t="s">
        <v>6672</v>
      </c>
      <c r="N1015" s="3066">
        <v>100</v>
      </c>
      <c r="O1015" s="3066" t="s">
        <v>3810</v>
      </c>
      <c r="P1015" s="3066" t="s">
        <v>3566</v>
      </c>
      <c r="Q1015" s="3066">
        <v>2</v>
      </c>
      <c r="R1015" s="3066">
        <v>7650</v>
      </c>
      <c r="S1015" s="3066" t="s">
        <v>3567</v>
      </c>
      <c r="T1015" s="3066">
        <v>23</v>
      </c>
      <c r="U1015" s="3066">
        <v>2300</v>
      </c>
      <c r="V1015" s="3066" t="s">
        <v>3560</v>
      </c>
      <c r="W1015" s="3066" t="s">
        <v>3568</v>
      </c>
      <c r="X1015" s="3066">
        <v>2.5</v>
      </c>
      <c r="Y1015" s="3066">
        <v>3000</v>
      </c>
      <c r="Z1015" s="3066" t="s">
        <v>3568</v>
      </c>
      <c r="AA1015" s="3066" t="s">
        <v>3560</v>
      </c>
      <c r="AB1015" s="3066" t="s">
        <v>3811</v>
      </c>
      <c r="AC1015" s="3066" t="s">
        <v>3811</v>
      </c>
      <c r="AD1015" s="3066" t="s">
        <v>3811</v>
      </c>
      <c r="AE1015" s="3066" t="s">
        <v>3560</v>
      </c>
      <c r="AF1015" s="3067">
        <v>2300</v>
      </c>
      <c r="AG1015" s="3066">
        <v>0</v>
      </c>
      <c r="AH1015" s="3066">
        <v>250</v>
      </c>
      <c r="AI1015" s="3066">
        <v>0</v>
      </c>
      <c r="AJ1015" s="3066">
        <v>0</v>
      </c>
      <c r="AK1015" s="3066">
        <v>0</v>
      </c>
      <c r="AL1015" s="3066">
        <v>2550</v>
      </c>
      <c r="AM1015" s="3066">
        <v>0</v>
      </c>
      <c r="AN1015" s="3066" t="s">
        <v>3560</v>
      </c>
      <c r="AP1015" s="3068">
        <f t="shared" si="15"/>
        <v>23</v>
      </c>
    </row>
    <row r="1016" spans="2:42" ht="27" customHeight="1">
      <c r="B1016" s="3066">
        <v>1149</v>
      </c>
      <c r="C1016" s="3066" t="s">
        <v>3874</v>
      </c>
      <c r="D1016" s="3066" t="s">
        <v>3560</v>
      </c>
      <c r="E1016" s="3066" t="s">
        <v>6673</v>
      </c>
      <c r="F1016" s="3066" t="s">
        <v>3559</v>
      </c>
      <c r="G1016" s="3066" t="s">
        <v>3560</v>
      </c>
      <c r="H1016" s="3066" t="s">
        <v>3560</v>
      </c>
      <c r="I1016" s="3066" t="s">
        <v>5575</v>
      </c>
      <c r="J1016" s="3066" t="s">
        <v>5575</v>
      </c>
      <c r="K1016" s="3066" t="s">
        <v>3560</v>
      </c>
      <c r="L1016" s="3066" t="s">
        <v>5576</v>
      </c>
      <c r="M1016" s="3066" t="s">
        <v>6674</v>
      </c>
      <c r="N1016" s="3066">
        <v>80</v>
      </c>
      <c r="O1016" s="3066" t="s">
        <v>3810</v>
      </c>
      <c r="P1016" s="3066" t="s">
        <v>3745</v>
      </c>
      <c r="Q1016" s="3066">
        <v>2</v>
      </c>
      <c r="R1016" s="3066">
        <v>6120</v>
      </c>
      <c r="S1016" s="3066" t="s">
        <v>3567</v>
      </c>
      <c r="T1016" s="3066">
        <v>23</v>
      </c>
      <c r="U1016" s="3066">
        <v>1840</v>
      </c>
      <c r="V1016" s="3066" t="s">
        <v>3560</v>
      </c>
      <c r="W1016" s="3066" t="s">
        <v>3568</v>
      </c>
      <c r="X1016" s="3066">
        <v>2.5</v>
      </c>
      <c r="Y1016" s="3066">
        <v>2400</v>
      </c>
      <c r="Z1016" s="3066" t="s">
        <v>3568</v>
      </c>
      <c r="AA1016" s="3066" t="s">
        <v>3560</v>
      </c>
      <c r="AB1016" s="3066" t="s">
        <v>3811</v>
      </c>
      <c r="AC1016" s="3066" t="s">
        <v>3811</v>
      </c>
      <c r="AD1016" s="3066" t="s">
        <v>3811</v>
      </c>
      <c r="AE1016" s="3066" t="s">
        <v>3560</v>
      </c>
      <c r="AF1016" s="3067">
        <v>1840</v>
      </c>
      <c r="AG1016" s="3066">
        <v>0</v>
      </c>
      <c r="AH1016" s="3066">
        <v>200</v>
      </c>
      <c r="AI1016" s="3066">
        <v>0</v>
      </c>
      <c r="AJ1016" s="3066">
        <v>0</v>
      </c>
      <c r="AK1016" s="3066">
        <v>0</v>
      </c>
      <c r="AL1016" s="3066">
        <v>2040</v>
      </c>
      <c r="AM1016" s="3066">
        <v>0</v>
      </c>
      <c r="AN1016" s="3066" t="s">
        <v>3560</v>
      </c>
      <c r="AP1016" s="3068">
        <f t="shared" si="15"/>
        <v>23</v>
      </c>
    </row>
    <row r="1017" spans="2:42" ht="27" customHeight="1">
      <c r="B1017" s="3066">
        <v>1150</v>
      </c>
      <c r="C1017" s="3066" t="s">
        <v>3874</v>
      </c>
      <c r="D1017" s="3066" t="s">
        <v>3560</v>
      </c>
      <c r="E1017" s="3066" t="s">
        <v>6673</v>
      </c>
      <c r="F1017" s="3066" t="s">
        <v>3559</v>
      </c>
      <c r="G1017" s="3066" t="s">
        <v>3560</v>
      </c>
      <c r="H1017" s="3066" t="s">
        <v>3560</v>
      </c>
      <c r="I1017" s="3066" t="s">
        <v>6675</v>
      </c>
      <c r="J1017" s="3066" t="s">
        <v>3560</v>
      </c>
      <c r="K1017" s="3066" t="s">
        <v>3560</v>
      </c>
      <c r="L1017" s="3066" t="s">
        <v>6676</v>
      </c>
      <c r="M1017" s="3066" t="s">
        <v>6674</v>
      </c>
      <c r="N1017" s="3066">
        <v>80</v>
      </c>
      <c r="O1017" s="3066" t="s">
        <v>6677</v>
      </c>
      <c r="P1017" s="3066" t="s">
        <v>3566</v>
      </c>
      <c r="Q1017" s="3066">
        <v>0</v>
      </c>
      <c r="R1017" s="3066">
        <v>7080</v>
      </c>
      <c r="S1017" s="3066" t="s">
        <v>3567</v>
      </c>
      <c r="T1017" s="3066">
        <v>27</v>
      </c>
      <c r="U1017" s="3066">
        <v>2160</v>
      </c>
      <c r="V1017" s="3066" t="s">
        <v>3560</v>
      </c>
      <c r="W1017" s="3066" t="s">
        <v>3568</v>
      </c>
      <c r="X1017" s="3066">
        <v>2.5</v>
      </c>
      <c r="Y1017" s="3066">
        <v>2400</v>
      </c>
      <c r="Z1017" s="3066" t="s">
        <v>3568</v>
      </c>
      <c r="AA1017" s="3066" t="s">
        <v>3560</v>
      </c>
      <c r="AB1017" s="3066" t="s">
        <v>3943</v>
      </c>
      <c r="AC1017" s="3066" t="s">
        <v>3943</v>
      </c>
      <c r="AD1017" s="3066" t="s">
        <v>3943</v>
      </c>
      <c r="AE1017" s="3066" t="s">
        <v>3560</v>
      </c>
      <c r="AF1017" s="3067">
        <v>0</v>
      </c>
      <c r="AG1017" s="3066">
        <v>0</v>
      </c>
      <c r="AH1017" s="3066">
        <v>0</v>
      </c>
      <c r="AI1017" s="3066">
        <v>0</v>
      </c>
      <c r="AJ1017" s="3066">
        <v>0</v>
      </c>
      <c r="AK1017" s="3066">
        <v>0</v>
      </c>
      <c r="AL1017" s="3066">
        <v>0</v>
      </c>
      <c r="AM1017" s="3066">
        <v>0</v>
      </c>
      <c r="AN1017" s="3066" t="s">
        <v>3560</v>
      </c>
      <c r="AP1017" s="3068">
        <f t="shared" si="15"/>
        <v>0</v>
      </c>
    </row>
    <row r="1018" spans="2:42" ht="27" customHeight="1">
      <c r="B1018" s="3066">
        <v>1151</v>
      </c>
      <c r="C1018" s="3066" t="s">
        <v>3214</v>
      </c>
      <c r="D1018" s="3066" t="s">
        <v>3972</v>
      </c>
      <c r="E1018" s="3066" t="s">
        <v>6678</v>
      </c>
      <c r="F1018" s="3066" t="s">
        <v>3917</v>
      </c>
      <c r="G1018" s="3066" t="s">
        <v>1373</v>
      </c>
      <c r="H1018" s="3066" t="s">
        <v>3560</v>
      </c>
      <c r="I1018" s="3066" t="s">
        <v>3909</v>
      </c>
      <c r="J1018" s="3066" t="s">
        <v>3910</v>
      </c>
      <c r="K1018" s="3066" t="s">
        <v>3560</v>
      </c>
      <c r="L1018" s="3066" t="s">
        <v>3911</v>
      </c>
      <c r="M1018" s="3066" t="s">
        <v>6679</v>
      </c>
      <c r="N1018" s="3066">
        <v>35</v>
      </c>
      <c r="O1018" s="3066" t="s">
        <v>3939</v>
      </c>
      <c r="P1018" s="3066" t="s">
        <v>3940</v>
      </c>
      <c r="Q1018" s="3066">
        <v>1</v>
      </c>
      <c r="R1018" s="3066">
        <v>13860</v>
      </c>
      <c r="S1018" s="3066" t="s">
        <v>3567</v>
      </c>
      <c r="T1018" s="3066">
        <v>20</v>
      </c>
      <c r="U1018" s="3066">
        <v>700</v>
      </c>
      <c r="V1018" s="3066" t="s">
        <v>3560</v>
      </c>
      <c r="W1018" s="3066" t="s">
        <v>3568</v>
      </c>
      <c r="X1018" s="3066">
        <v>2</v>
      </c>
      <c r="Y1018" s="3066">
        <v>840</v>
      </c>
      <c r="Z1018" s="3066" t="s">
        <v>3568</v>
      </c>
      <c r="AA1018" s="3066" t="s">
        <v>3560</v>
      </c>
      <c r="AB1018" s="3066" t="s">
        <v>3941</v>
      </c>
      <c r="AC1018" s="3066" t="s">
        <v>3941</v>
      </c>
      <c r="AD1018" s="3066" t="s">
        <v>3941</v>
      </c>
      <c r="AE1018" s="3066" t="s">
        <v>3560</v>
      </c>
      <c r="AF1018" s="3067">
        <v>700</v>
      </c>
      <c r="AG1018" s="3066">
        <v>0</v>
      </c>
      <c r="AH1018" s="3066">
        <v>70</v>
      </c>
      <c r="AI1018" s="3066">
        <v>0</v>
      </c>
      <c r="AJ1018" s="3066">
        <v>80.11</v>
      </c>
      <c r="AK1018" s="3066">
        <v>0</v>
      </c>
      <c r="AL1018" s="3066">
        <v>850.11</v>
      </c>
      <c r="AM1018" s="3066">
        <v>0</v>
      </c>
      <c r="AN1018" s="3066" t="s">
        <v>3560</v>
      </c>
      <c r="AP1018" s="3068">
        <f t="shared" si="15"/>
        <v>20</v>
      </c>
    </row>
    <row r="1019" spans="2:42" ht="27" customHeight="1">
      <c r="B1019" s="3066">
        <v>1152</v>
      </c>
      <c r="C1019" s="3066" t="s">
        <v>3214</v>
      </c>
      <c r="D1019" s="3066" t="s">
        <v>3972</v>
      </c>
      <c r="E1019" s="3066" t="s">
        <v>6678</v>
      </c>
      <c r="F1019" s="3066" t="s">
        <v>3917</v>
      </c>
      <c r="G1019" s="3066" t="s">
        <v>1373</v>
      </c>
      <c r="H1019" s="3066" t="s">
        <v>3560</v>
      </c>
      <c r="I1019" s="3066" t="s">
        <v>3909</v>
      </c>
      <c r="J1019" s="3066" t="s">
        <v>3910</v>
      </c>
      <c r="K1019" s="3066" t="s">
        <v>3560</v>
      </c>
      <c r="L1019" s="3066" t="s">
        <v>3911</v>
      </c>
      <c r="M1019" s="3066" t="s">
        <v>6679</v>
      </c>
      <c r="N1019" s="3066">
        <v>35</v>
      </c>
      <c r="O1019" s="3066" t="s">
        <v>3942</v>
      </c>
      <c r="P1019" s="3066" t="s">
        <v>3566</v>
      </c>
      <c r="Q1019" s="3066">
        <v>0</v>
      </c>
      <c r="R1019" s="3066">
        <v>13860</v>
      </c>
      <c r="S1019" s="3066" t="s">
        <v>3567</v>
      </c>
      <c r="T1019" s="3066">
        <v>21</v>
      </c>
      <c r="U1019" s="3066">
        <v>735</v>
      </c>
      <c r="V1019" s="3066" t="s">
        <v>3560</v>
      </c>
      <c r="W1019" s="3066" t="s">
        <v>3568</v>
      </c>
      <c r="X1019" s="3066">
        <v>2</v>
      </c>
      <c r="Y1019" s="3066">
        <v>840</v>
      </c>
      <c r="Z1019" s="3066" t="s">
        <v>3568</v>
      </c>
      <c r="AA1019" s="3066" t="s">
        <v>3560</v>
      </c>
      <c r="AB1019" s="3066" t="s">
        <v>3943</v>
      </c>
      <c r="AC1019" s="3066" t="s">
        <v>3943</v>
      </c>
      <c r="AD1019" s="3066" t="s">
        <v>3943</v>
      </c>
      <c r="AE1019" s="3066" t="s">
        <v>3560</v>
      </c>
      <c r="AF1019" s="3067">
        <v>700</v>
      </c>
      <c r="AG1019" s="3066">
        <v>0</v>
      </c>
      <c r="AH1019" s="3066">
        <v>70</v>
      </c>
      <c r="AI1019" s="3066">
        <v>0</v>
      </c>
      <c r="AJ1019" s="3066">
        <v>80.11</v>
      </c>
      <c r="AK1019" s="3066">
        <v>0</v>
      </c>
      <c r="AL1019" s="3066">
        <v>850.11</v>
      </c>
      <c r="AM1019" s="3066">
        <v>0</v>
      </c>
      <c r="AN1019" s="3066" t="s">
        <v>3560</v>
      </c>
      <c r="AP1019" s="3068">
        <f t="shared" ref="AP1019:AP1082" si="16">AF1019/N1019</f>
        <v>20</v>
      </c>
    </row>
    <row r="1020" spans="2:42" ht="27" customHeight="1">
      <c r="B1020" s="3066">
        <v>1153</v>
      </c>
      <c r="C1020" s="3066" t="s">
        <v>3214</v>
      </c>
      <c r="D1020" s="3066" t="s">
        <v>3972</v>
      </c>
      <c r="E1020" s="3066" t="s">
        <v>6680</v>
      </c>
      <c r="F1020" s="3066" t="s">
        <v>3917</v>
      </c>
      <c r="G1020" s="3066" t="s">
        <v>1373</v>
      </c>
      <c r="H1020" s="3066" t="s">
        <v>3560</v>
      </c>
      <c r="I1020" s="3066" t="s">
        <v>3909</v>
      </c>
      <c r="J1020" s="3066" t="s">
        <v>3910</v>
      </c>
      <c r="K1020" s="3066" t="s">
        <v>3560</v>
      </c>
      <c r="L1020" s="3066" t="s">
        <v>3911</v>
      </c>
      <c r="M1020" s="3066" t="s">
        <v>6681</v>
      </c>
      <c r="N1020" s="3066">
        <v>35</v>
      </c>
      <c r="O1020" s="3066" t="s">
        <v>3931</v>
      </c>
      <c r="P1020" s="3066" t="s">
        <v>3566</v>
      </c>
      <c r="Q1020" s="3066">
        <v>1</v>
      </c>
      <c r="R1020" s="3066">
        <v>11814</v>
      </c>
      <c r="S1020" s="3066" t="s">
        <v>3567</v>
      </c>
      <c r="T1020" s="3066">
        <v>20</v>
      </c>
      <c r="U1020" s="3066">
        <v>700</v>
      </c>
      <c r="V1020" s="3066" t="s">
        <v>3560</v>
      </c>
      <c r="W1020" s="3066" t="s">
        <v>3568</v>
      </c>
      <c r="X1020" s="3066">
        <v>2</v>
      </c>
      <c r="Y1020" s="3066">
        <v>840</v>
      </c>
      <c r="Z1020" s="3066" t="s">
        <v>3568</v>
      </c>
      <c r="AA1020" s="3066" t="s">
        <v>3560</v>
      </c>
      <c r="AB1020" s="3066" t="s">
        <v>3932</v>
      </c>
      <c r="AC1020" s="3066" t="s">
        <v>3932</v>
      </c>
      <c r="AD1020" s="3066" t="s">
        <v>3932</v>
      </c>
      <c r="AE1020" s="3066" t="s">
        <v>3560</v>
      </c>
      <c r="AF1020" s="3067">
        <v>700</v>
      </c>
      <c r="AG1020" s="3066">
        <v>0</v>
      </c>
      <c r="AH1020" s="3066">
        <v>70</v>
      </c>
      <c r="AI1020" s="3066">
        <v>0</v>
      </c>
      <c r="AJ1020" s="3066">
        <v>152.91</v>
      </c>
      <c r="AK1020" s="3066">
        <v>0</v>
      </c>
      <c r="AL1020" s="3066">
        <v>922.91</v>
      </c>
      <c r="AM1020" s="3066">
        <v>0</v>
      </c>
      <c r="AN1020" s="3066" t="s">
        <v>3560</v>
      </c>
      <c r="AP1020" s="3068">
        <f t="shared" si="16"/>
        <v>20</v>
      </c>
    </row>
    <row r="1021" spans="2:42" ht="27" customHeight="1">
      <c r="B1021" s="3066">
        <v>1154</v>
      </c>
      <c r="C1021" s="3066" t="s">
        <v>3214</v>
      </c>
      <c r="D1021" s="3066" t="s">
        <v>3972</v>
      </c>
      <c r="E1021" s="3066" t="s">
        <v>6682</v>
      </c>
      <c r="F1021" s="3066" t="s">
        <v>3917</v>
      </c>
      <c r="G1021" s="3066" t="s">
        <v>1373</v>
      </c>
      <c r="H1021" s="3066" t="s">
        <v>3560</v>
      </c>
      <c r="I1021" s="3066" t="s">
        <v>3909</v>
      </c>
      <c r="J1021" s="3066" t="s">
        <v>3910</v>
      </c>
      <c r="K1021" s="3066" t="s">
        <v>3560</v>
      </c>
      <c r="L1021" s="3066" t="s">
        <v>3911</v>
      </c>
      <c r="M1021" s="3066" t="s">
        <v>6683</v>
      </c>
      <c r="N1021" s="3066">
        <v>35</v>
      </c>
      <c r="O1021" s="3066" t="s">
        <v>3942</v>
      </c>
      <c r="P1021" s="3066" t="s">
        <v>3566</v>
      </c>
      <c r="Q1021" s="3066">
        <v>0</v>
      </c>
      <c r="R1021" s="3066">
        <v>9240</v>
      </c>
      <c r="S1021" s="3066" t="s">
        <v>3567</v>
      </c>
      <c r="T1021" s="3066">
        <v>21</v>
      </c>
      <c r="U1021" s="3066">
        <v>735</v>
      </c>
      <c r="V1021" s="3066" t="s">
        <v>3560</v>
      </c>
      <c r="W1021" s="3066" t="s">
        <v>3568</v>
      </c>
      <c r="X1021" s="3066">
        <v>2</v>
      </c>
      <c r="Y1021" s="3066">
        <v>840</v>
      </c>
      <c r="Z1021" s="3066" t="s">
        <v>3568</v>
      </c>
      <c r="AA1021" s="3066" t="s">
        <v>3560</v>
      </c>
      <c r="AB1021" s="3066" t="s">
        <v>3943</v>
      </c>
      <c r="AC1021" s="3066" t="s">
        <v>3943</v>
      </c>
      <c r="AD1021" s="3066" t="s">
        <v>3943</v>
      </c>
      <c r="AE1021" s="3066" t="s">
        <v>3560</v>
      </c>
      <c r="AF1021" s="3067">
        <v>700</v>
      </c>
      <c r="AG1021" s="3066">
        <v>0</v>
      </c>
      <c r="AH1021" s="3066">
        <v>70</v>
      </c>
      <c r="AI1021" s="3066">
        <v>0</v>
      </c>
      <c r="AJ1021" s="3066">
        <v>67.75</v>
      </c>
      <c r="AK1021" s="3066">
        <v>0</v>
      </c>
      <c r="AL1021" s="3066">
        <v>837.75</v>
      </c>
      <c r="AM1021" s="3066">
        <v>0</v>
      </c>
      <c r="AN1021" s="3066" t="s">
        <v>3560</v>
      </c>
      <c r="AP1021" s="3068">
        <f t="shared" si="16"/>
        <v>20</v>
      </c>
    </row>
    <row r="1022" spans="2:42" ht="27" customHeight="1">
      <c r="B1022" s="3066">
        <v>1155</v>
      </c>
      <c r="C1022" s="3066" t="s">
        <v>3214</v>
      </c>
      <c r="D1022" s="3066" t="s">
        <v>3972</v>
      </c>
      <c r="E1022" s="3066" t="s">
        <v>6684</v>
      </c>
      <c r="F1022" s="3066" t="s">
        <v>3917</v>
      </c>
      <c r="G1022" s="3066" t="s">
        <v>1373</v>
      </c>
      <c r="H1022" s="3066" t="s">
        <v>3560</v>
      </c>
      <c r="I1022" s="3066" t="s">
        <v>3909</v>
      </c>
      <c r="J1022" s="3066" t="s">
        <v>3910</v>
      </c>
      <c r="K1022" s="3066" t="s">
        <v>3560</v>
      </c>
      <c r="L1022" s="3066" t="s">
        <v>3911</v>
      </c>
      <c r="M1022" s="3066" t="s">
        <v>6685</v>
      </c>
      <c r="N1022" s="3066">
        <v>35</v>
      </c>
      <c r="O1022" s="3066" t="s">
        <v>3942</v>
      </c>
      <c r="P1022" s="3066" t="s">
        <v>3566</v>
      </c>
      <c r="Q1022" s="3066">
        <v>0</v>
      </c>
      <c r="R1022" s="3066">
        <v>0</v>
      </c>
      <c r="S1022" s="3066" t="s">
        <v>3577</v>
      </c>
      <c r="T1022" s="3066">
        <v>21</v>
      </c>
      <c r="U1022" s="3066">
        <v>735</v>
      </c>
      <c r="V1022" s="3066" t="s">
        <v>3560</v>
      </c>
      <c r="W1022" s="3066" t="s">
        <v>3568</v>
      </c>
      <c r="X1022" s="3066">
        <v>2</v>
      </c>
      <c r="Y1022" s="3066">
        <v>840</v>
      </c>
      <c r="Z1022" s="3066" t="s">
        <v>3568</v>
      </c>
      <c r="AA1022" s="3066" t="s">
        <v>3560</v>
      </c>
      <c r="AB1022" s="3066" t="s">
        <v>3943</v>
      </c>
      <c r="AC1022" s="3066" t="s">
        <v>3943</v>
      </c>
      <c r="AD1022" s="3066" t="s">
        <v>3943</v>
      </c>
      <c r="AE1022" s="3066" t="s">
        <v>3560</v>
      </c>
      <c r="AF1022" s="3067">
        <v>700</v>
      </c>
      <c r="AG1022" s="3066">
        <v>0</v>
      </c>
      <c r="AH1022" s="3066">
        <v>70</v>
      </c>
      <c r="AI1022" s="3066">
        <v>0</v>
      </c>
      <c r="AJ1022" s="3066">
        <v>122.79</v>
      </c>
      <c r="AK1022" s="3066">
        <v>0</v>
      </c>
      <c r="AL1022" s="3066">
        <v>892.79</v>
      </c>
      <c r="AM1022" s="3066">
        <v>0</v>
      </c>
      <c r="AN1022" s="3066" t="s">
        <v>3560</v>
      </c>
      <c r="AP1022" s="3068">
        <f t="shared" si="16"/>
        <v>20</v>
      </c>
    </row>
    <row r="1023" spans="2:42" ht="27" customHeight="1">
      <c r="B1023" s="3066">
        <v>1156</v>
      </c>
      <c r="C1023" s="3066" t="s">
        <v>3214</v>
      </c>
      <c r="D1023" s="3066" t="s">
        <v>3972</v>
      </c>
      <c r="E1023" s="3066" t="s">
        <v>6686</v>
      </c>
      <c r="F1023" s="3066" t="s">
        <v>3917</v>
      </c>
      <c r="G1023" s="3066" t="s">
        <v>1373</v>
      </c>
      <c r="H1023" s="3066" t="s">
        <v>3560</v>
      </c>
      <c r="I1023" s="3066" t="s">
        <v>3909</v>
      </c>
      <c r="J1023" s="3066" t="s">
        <v>3910</v>
      </c>
      <c r="K1023" s="3066" t="s">
        <v>3560</v>
      </c>
      <c r="L1023" s="3066" t="s">
        <v>3911</v>
      </c>
      <c r="M1023" s="3066" t="s">
        <v>6687</v>
      </c>
      <c r="N1023" s="3066">
        <v>35</v>
      </c>
      <c r="O1023" s="3066" t="s">
        <v>3942</v>
      </c>
      <c r="P1023" s="3066" t="s">
        <v>3566</v>
      </c>
      <c r="Q1023" s="3066">
        <v>0</v>
      </c>
      <c r="R1023" s="3066">
        <v>0</v>
      </c>
      <c r="S1023" s="3066" t="s">
        <v>3577</v>
      </c>
      <c r="T1023" s="3066">
        <v>21</v>
      </c>
      <c r="U1023" s="3066">
        <v>735</v>
      </c>
      <c r="V1023" s="3066" t="s">
        <v>3560</v>
      </c>
      <c r="W1023" s="3066" t="s">
        <v>3568</v>
      </c>
      <c r="X1023" s="3066">
        <v>2</v>
      </c>
      <c r="Y1023" s="3066">
        <v>840</v>
      </c>
      <c r="Z1023" s="3066" t="s">
        <v>3568</v>
      </c>
      <c r="AA1023" s="3066" t="s">
        <v>3560</v>
      </c>
      <c r="AB1023" s="3066" t="s">
        <v>3943</v>
      </c>
      <c r="AC1023" s="3066" t="s">
        <v>3943</v>
      </c>
      <c r="AD1023" s="3066" t="s">
        <v>3943</v>
      </c>
      <c r="AE1023" s="3066" t="s">
        <v>3560</v>
      </c>
      <c r="AF1023" s="3067">
        <v>700</v>
      </c>
      <c r="AG1023" s="3066">
        <v>0</v>
      </c>
      <c r="AH1023" s="3066">
        <v>70</v>
      </c>
      <c r="AI1023" s="3066">
        <v>0</v>
      </c>
      <c r="AJ1023" s="3066">
        <v>12.54</v>
      </c>
      <c r="AK1023" s="3066">
        <v>0</v>
      </c>
      <c r="AL1023" s="3066">
        <v>782.54</v>
      </c>
      <c r="AM1023" s="3066">
        <v>0</v>
      </c>
      <c r="AN1023" s="3066" t="s">
        <v>3560</v>
      </c>
      <c r="AP1023" s="3068">
        <f t="shared" si="16"/>
        <v>20</v>
      </c>
    </row>
    <row r="1024" spans="2:42" ht="27" customHeight="1">
      <c r="B1024" s="3066">
        <v>1157</v>
      </c>
      <c r="C1024" s="3066" t="s">
        <v>3214</v>
      </c>
      <c r="D1024" s="3066" t="s">
        <v>3972</v>
      </c>
      <c r="E1024" s="3066" t="s">
        <v>6688</v>
      </c>
      <c r="F1024" s="3066" t="s">
        <v>3917</v>
      </c>
      <c r="G1024" s="3066" t="s">
        <v>1373</v>
      </c>
      <c r="H1024" s="3066" t="s">
        <v>3560</v>
      </c>
      <c r="I1024" s="3066" t="s">
        <v>3909</v>
      </c>
      <c r="J1024" s="3066" t="s">
        <v>3910</v>
      </c>
      <c r="K1024" s="3066" t="s">
        <v>3560</v>
      </c>
      <c r="L1024" s="3066" t="s">
        <v>3911</v>
      </c>
      <c r="M1024" s="3066" t="s">
        <v>6689</v>
      </c>
      <c r="N1024" s="3066">
        <v>35</v>
      </c>
      <c r="O1024" s="3066" t="s">
        <v>3942</v>
      </c>
      <c r="P1024" s="3066" t="s">
        <v>3566</v>
      </c>
      <c r="Q1024" s="3066">
        <v>0</v>
      </c>
      <c r="R1024" s="3066">
        <v>0</v>
      </c>
      <c r="S1024" s="3066" t="s">
        <v>3577</v>
      </c>
      <c r="T1024" s="3066">
        <v>21</v>
      </c>
      <c r="U1024" s="3066">
        <v>735</v>
      </c>
      <c r="V1024" s="3066" t="s">
        <v>3560</v>
      </c>
      <c r="W1024" s="3066" t="s">
        <v>3568</v>
      </c>
      <c r="X1024" s="3066">
        <v>2</v>
      </c>
      <c r="Y1024" s="3066">
        <v>840</v>
      </c>
      <c r="Z1024" s="3066" t="s">
        <v>3568</v>
      </c>
      <c r="AA1024" s="3066" t="s">
        <v>3560</v>
      </c>
      <c r="AB1024" s="3066" t="s">
        <v>3943</v>
      </c>
      <c r="AC1024" s="3066" t="s">
        <v>3943</v>
      </c>
      <c r="AD1024" s="3066" t="s">
        <v>3943</v>
      </c>
      <c r="AE1024" s="3066" t="s">
        <v>3560</v>
      </c>
      <c r="AF1024" s="3067">
        <v>700</v>
      </c>
      <c r="AG1024" s="3066">
        <v>0</v>
      </c>
      <c r="AH1024" s="3066">
        <v>70</v>
      </c>
      <c r="AI1024" s="3066">
        <v>0</v>
      </c>
      <c r="AJ1024" s="3066">
        <v>55.04</v>
      </c>
      <c r="AK1024" s="3066">
        <v>0</v>
      </c>
      <c r="AL1024" s="3066">
        <v>825.04</v>
      </c>
      <c r="AM1024" s="3066">
        <v>0</v>
      </c>
      <c r="AN1024" s="3066" t="s">
        <v>3560</v>
      </c>
      <c r="AP1024" s="3068">
        <f t="shared" si="16"/>
        <v>20</v>
      </c>
    </row>
    <row r="1025" spans="2:42" ht="27" customHeight="1">
      <c r="B1025" s="3066">
        <v>1158</v>
      </c>
      <c r="C1025" s="3066" t="s">
        <v>3214</v>
      </c>
      <c r="D1025" s="3066" t="s">
        <v>3972</v>
      </c>
      <c r="E1025" s="3066" t="s">
        <v>6690</v>
      </c>
      <c r="F1025" s="3066" t="s">
        <v>3917</v>
      </c>
      <c r="G1025" s="3066" t="s">
        <v>1373</v>
      </c>
      <c r="H1025" s="3066" t="s">
        <v>3560</v>
      </c>
      <c r="I1025" s="3066" t="s">
        <v>3909</v>
      </c>
      <c r="J1025" s="3066" t="s">
        <v>3910</v>
      </c>
      <c r="K1025" s="3066" t="s">
        <v>3560</v>
      </c>
      <c r="L1025" s="3066" t="s">
        <v>3911</v>
      </c>
      <c r="M1025" s="3066" t="s">
        <v>6691</v>
      </c>
      <c r="N1025" s="3066">
        <v>35</v>
      </c>
      <c r="O1025" s="3066" t="s">
        <v>3931</v>
      </c>
      <c r="P1025" s="3066" t="s">
        <v>3566</v>
      </c>
      <c r="Q1025" s="3066">
        <v>1</v>
      </c>
      <c r="R1025" s="3066">
        <v>0</v>
      </c>
      <c r="S1025" s="3066" t="s">
        <v>3577</v>
      </c>
      <c r="T1025" s="3066">
        <v>20</v>
      </c>
      <c r="U1025" s="3066">
        <v>700</v>
      </c>
      <c r="V1025" s="3066" t="s">
        <v>3560</v>
      </c>
      <c r="W1025" s="3066" t="s">
        <v>3568</v>
      </c>
      <c r="X1025" s="3066">
        <v>2</v>
      </c>
      <c r="Y1025" s="3066">
        <v>840</v>
      </c>
      <c r="Z1025" s="3066" t="s">
        <v>3568</v>
      </c>
      <c r="AA1025" s="3066" t="s">
        <v>3560</v>
      </c>
      <c r="AB1025" s="3066" t="s">
        <v>3932</v>
      </c>
      <c r="AC1025" s="3066" t="s">
        <v>3932</v>
      </c>
      <c r="AD1025" s="3066" t="s">
        <v>3932</v>
      </c>
      <c r="AE1025" s="3066" t="s">
        <v>3560</v>
      </c>
      <c r="AF1025" s="3067">
        <v>700</v>
      </c>
      <c r="AG1025" s="3066">
        <v>0</v>
      </c>
      <c r="AH1025" s="3066">
        <v>70</v>
      </c>
      <c r="AI1025" s="3066">
        <v>0</v>
      </c>
      <c r="AJ1025" s="3066">
        <v>85.81</v>
      </c>
      <c r="AK1025" s="3066">
        <v>0</v>
      </c>
      <c r="AL1025" s="3066">
        <v>855.81</v>
      </c>
      <c r="AM1025" s="3066">
        <v>0</v>
      </c>
      <c r="AN1025" s="3066" t="s">
        <v>3560</v>
      </c>
      <c r="AP1025" s="3068">
        <f t="shared" si="16"/>
        <v>20</v>
      </c>
    </row>
    <row r="1026" spans="2:42" ht="27" customHeight="1">
      <c r="B1026" s="3066">
        <v>1159</v>
      </c>
      <c r="C1026" s="3066" t="s">
        <v>3214</v>
      </c>
      <c r="D1026" s="3066" t="s">
        <v>3972</v>
      </c>
      <c r="E1026" s="3066" t="s">
        <v>6692</v>
      </c>
      <c r="F1026" s="3066" t="s">
        <v>3917</v>
      </c>
      <c r="G1026" s="3066" t="s">
        <v>1373</v>
      </c>
      <c r="H1026" s="3066" t="s">
        <v>3560</v>
      </c>
      <c r="I1026" s="3066" t="s">
        <v>3909</v>
      </c>
      <c r="J1026" s="3066" t="s">
        <v>3910</v>
      </c>
      <c r="K1026" s="3066" t="s">
        <v>3560</v>
      </c>
      <c r="L1026" s="3066" t="s">
        <v>3911</v>
      </c>
      <c r="M1026" s="3066" t="s">
        <v>6693</v>
      </c>
      <c r="N1026" s="3066">
        <v>35</v>
      </c>
      <c r="O1026" s="3066" t="s">
        <v>3931</v>
      </c>
      <c r="P1026" s="3066" t="s">
        <v>3566</v>
      </c>
      <c r="Q1026" s="3066">
        <v>1</v>
      </c>
      <c r="R1026" s="3066">
        <v>0</v>
      </c>
      <c r="S1026" s="3066" t="s">
        <v>3577</v>
      </c>
      <c r="T1026" s="3066">
        <v>20</v>
      </c>
      <c r="U1026" s="3066">
        <v>700</v>
      </c>
      <c r="V1026" s="3066" t="s">
        <v>3560</v>
      </c>
      <c r="W1026" s="3066" t="s">
        <v>3568</v>
      </c>
      <c r="X1026" s="3066">
        <v>2</v>
      </c>
      <c r="Y1026" s="3066">
        <v>840</v>
      </c>
      <c r="Z1026" s="3066" t="s">
        <v>3568</v>
      </c>
      <c r="AA1026" s="3066" t="s">
        <v>3560</v>
      </c>
      <c r="AB1026" s="3066" t="s">
        <v>3932</v>
      </c>
      <c r="AC1026" s="3066" t="s">
        <v>3932</v>
      </c>
      <c r="AD1026" s="3066" t="s">
        <v>3932</v>
      </c>
      <c r="AE1026" s="3066" t="s">
        <v>3560</v>
      </c>
      <c r="AF1026" s="3067">
        <v>700</v>
      </c>
      <c r="AG1026" s="3066">
        <v>0</v>
      </c>
      <c r="AH1026" s="3066">
        <v>70</v>
      </c>
      <c r="AI1026" s="3066">
        <v>0</v>
      </c>
      <c r="AJ1026" s="3066">
        <v>172.13</v>
      </c>
      <c r="AK1026" s="3066">
        <v>0</v>
      </c>
      <c r="AL1026" s="3066">
        <v>942.13</v>
      </c>
      <c r="AM1026" s="3066">
        <v>0</v>
      </c>
      <c r="AN1026" s="3066" t="s">
        <v>3560</v>
      </c>
      <c r="AP1026" s="3068">
        <f t="shared" si="16"/>
        <v>20</v>
      </c>
    </row>
    <row r="1027" spans="2:42" ht="27" customHeight="1">
      <c r="B1027" s="3066">
        <v>1160</v>
      </c>
      <c r="C1027" s="3066" t="s">
        <v>3214</v>
      </c>
      <c r="D1027" s="3066" t="s">
        <v>3972</v>
      </c>
      <c r="E1027" s="3066" t="s">
        <v>6694</v>
      </c>
      <c r="F1027" s="3066" t="s">
        <v>3917</v>
      </c>
      <c r="G1027" s="3066" t="s">
        <v>1373</v>
      </c>
      <c r="H1027" s="3066" t="s">
        <v>3560</v>
      </c>
      <c r="I1027" s="3066" t="s">
        <v>3909</v>
      </c>
      <c r="J1027" s="3066" t="s">
        <v>3910</v>
      </c>
      <c r="K1027" s="3066" t="s">
        <v>3560</v>
      </c>
      <c r="L1027" s="3066" t="s">
        <v>3911</v>
      </c>
      <c r="M1027" s="3066" t="s">
        <v>6694</v>
      </c>
      <c r="N1027" s="3066">
        <v>35</v>
      </c>
      <c r="O1027" s="3066" t="s">
        <v>3939</v>
      </c>
      <c r="P1027" s="3066" t="s">
        <v>3940</v>
      </c>
      <c r="Q1027" s="3066">
        <v>1</v>
      </c>
      <c r="R1027" s="3066">
        <v>0</v>
      </c>
      <c r="S1027" s="3066" t="s">
        <v>3577</v>
      </c>
      <c r="T1027" s="3066">
        <v>20</v>
      </c>
      <c r="U1027" s="3066">
        <v>700</v>
      </c>
      <c r="V1027" s="3066" t="s">
        <v>3560</v>
      </c>
      <c r="W1027" s="3066" t="s">
        <v>3568</v>
      </c>
      <c r="X1027" s="3066">
        <v>2</v>
      </c>
      <c r="Y1027" s="3066">
        <v>840</v>
      </c>
      <c r="Z1027" s="3066" t="s">
        <v>3568</v>
      </c>
      <c r="AA1027" s="3066" t="s">
        <v>3560</v>
      </c>
      <c r="AB1027" s="3066" t="s">
        <v>3941</v>
      </c>
      <c r="AC1027" s="3066" t="s">
        <v>3941</v>
      </c>
      <c r="AD1027" s="3066" t="s">
        <v>3941</v>
      </c>
      <c r="AE1027" s="3066" t="s">
        <v>3560</v>
      </c>
      <c r="AF1027" s="3067">
        <v>700</v>
      </c>
      <c r="AG1027" s="3066">
        <v>0</v>
      </c>
      <c r="AH1027" s="3066">
        <v>70</v>
      </c>
      <c r="AI1027" s="3066">
        <v>0</v>
      </c>
      <c r="AJ1027" s="3066">
        <v>106.83</v>
      </c>
      <c r="AK1027" s="3066">
        <v>0</v>
      </c>
      <c r="AL1027" s="3066">
        <v>876.83</v>
      </c>
      <c r="AM1027" s="3066">
        <v>0</v>
      </c>
      <c r="AN1027" s="3066" t="s">
        <v>3560</v>
      </c>
      <c r="AP1027" s="3068">
        <f t="shared" si="16"/>
        <v>20</v>
      </c>
    </row>
    <row r="1028" spans="2:42" ht="27" customHeight="1">
      <c r="B1028" s="3066">
        <v>1161</v>
      </c>
      <c r="C1028" s="3066" t="s">
        <v>3214</v>
      </c>
      <c r="D1028" s="3066" t="s">
        <v>3972</v>
      </c>
      <c r="E1028" s="3066" t="s">
        <v>6694</v>
      </c>
      <c r="F1028" s="3066" t="s">
        <v>3917</v>
      </c>
      <c r="G1028" s="3066" t="s">
        <v>1373</v>
      </c>
      <c r="H1028" s="3066" t="s">
        <v>3560</v>
      </c>
      <c r="I1028" s="3066" t="s">
        <v>3909</v>
      </c>
      <c r="J1028" s="3066" t="s">
        <v>3910</v>
      </c>
      <c r="K1028" s="3066" t="s">
        <v>3560</v>
      </c>
      <c r="L1028" s="3066" t="s">
        <v>3911</v>
      </c>
      <c r="M1028" s="3066" t="s">
        <v>6694</v>
      </c>
      <c r="N1028" s="3066">
        <v>35</v>
      </c>
      <c r="O1028" s="3066" t="s">
        <v>3942</v>
      </c>
      <c r="P1028" s="3066" t="s">
        <v>3566</v>
      </c>
      <c r="Q1028" s="3066">
        <v>0</v>
      </c>
      <c r="R1028" s="3066">
        <v>0</v>
      </c>
      <c r="S1028" s="3066" t="s">
        <v>3577</v>
      </c>
      <c r="T1028" s="3066">
        <v>21</v>
      </c>
      <c r="U1028" s="3066">
        <v>735</v>
      </c>
      <c r="V1028" s="3066" t="s">
        <v>3560</v>
      </c>
      <c r="W1028" s="3066" t="s">
        <v>3568</v>
      </c>
      <c r="X1028" s="3066">
        <v>2</v>
      </c>
      <c r="Y1028" s="3066">
        <v>840</v>
      </c>
      <c r="Z1028" s="3066" t="s">
        <v>3568</v>
      </c>
      <c r="AA1028" s="3066" t="s">
        <v>3560</v>
      </c>
      <c r="AB1028" s="3066" t="s">
        <v>3943</v>
      </c>
      <c r="AC1028" s="3066" t="s">
        <v>3943</v>
      </c>
      <c r="AD1028" s="3066" t="s">
        <v>3943</v>
      </c>
      <c r="AE1028" s="3066" t="s">
        <v>3560</v>
      </c>
      <c r="AF1028" s="3067">
        <v>700</v>
      </c>
      <c r="AG1028" s="3066">
        <v>0</v>
      </c>
      <c r="AH1028" s="3066">
        <v>70</v>
      </c>
      <c r="AI1028" s="3066">
        <v>0</v>
      </c>
      <c r="AJ1028" s="3066">
        <v>106.83</v>
      </c>
      <c r="AK1028" s="3066">
        <v>0</v>
      </c>
      <c r="AL1028" s="3066">
        <v>876.83</v>
      </c>
      <c r="AM1028" s="3066">
        <v>0</v>
      </c>
      <c r="AN1028" s="3066" t="s">
        <v>3560</v>
      </c>
      <c r="AP1028" s="3068">
        <f t="shared" si="16"/>
        <v>20</v>
      </c>
    </row>
    <row r="1029" spans="2:42" ht="27" customHeight="1">
      <c r="B1029" s="3066">
        <v>1162</v>
      </c>
      <c r="C1029" s="3066" t="s">
        <v>3214</v>
      </c>
      <c r="D1029" s="3066" t="s">
        <v>3972</v>
      </c>
      <c r="E1029" s="3066" t="s">
        <v>6695</v>
      </c>
      <c r="F1029" s="3066" t="s">
        <v>3917</v>
      </c>
      <c r="G1029" s="3066" t="s">
        <v>1373</v>
      </c>
      <c r="H1029" s="3066" t="s">
        <v>3560</v>
      </c>
      <c r="I1029" s="3066" t="s">
        <v>3909</v>
      </c>
      <c r="J1029" s="3066" t="s">
        <v>3910</v>
      </c>
      <c r="K1029" s="3066" t="s">
        <v>3560</v>
      </c>
      <c r="L1029" s="3066" t="s">
        <v>3911</v>
      </c>
      <c r="M1029" s="3066" t="s">
        <v>6695</v>
      </c>
      <c r="N1029" s="3066">
        <v>35</v>
      </c>
      <c r="O1029" s="3066" t="s">
        <v>3939</v>
      </c>
      <c r="P1029" s="3066" t="s">
        <v>3940</v>
      </c>
      <c r="Q1029" s="3066">
        <v>1</v>
      </c>
      <c r="R1029" s="3066">
        <v>0</v>
      </c>
      <c r="S1029" s="3066" t="s">
        <v>3577</v>
      </c>
      <c r="T1029" s="3066">
        <v>20</v>
      </c>
      <c r="U1029" s="3066">
        <v>700</v>
      </c>
      <c r="V1029" s="3066" t="s">
        <v>3560</v>
      </c>
      <c r="W1029" s="3066" t="s">
        <v>3568</v>
      </c>
      <c r="X1029" s="3066">
        <v>2</v>
      </c>
      <c r="Y1029" s="3066">
        <v>840</v>
      </c>
      <c r="Z1029" s="3066" t="s">
        <v>3568</v>
      </c>
      <c r="AA1029" s="3066" t="s">
        <v>3560</v>
      </c>
      <c r="AB1029" s="3066" t="s">
        <v>3941</v>
      </c>
      <c r="AC1029" s="3066" t="s">
        <v>3941</v>
      </c>
      <c r="AD1029" s="3066" t="s">
        <v>3941</v>
      </c>
      <c r="AE1029" s="3066" t="s">
        <v>3560</v>
      </c>
      <c r="AF1029" s="3067">
        <v>700</v>
      </c>
      <c r="AG1029" s="3066">
        <v>0</v>
      </c>
      <c r="AH1029" s="3066">
        <v>70</v>
      </c>
      <c r="AI1029" s="3066">
        <v>0</v>
      </c>
      <c r="AJ1029" s="3066">
        <v>187.45</v>
      </c>
      <c r="AK1029" s="3066">
        <v>0</v>
      </c>
      <c r="AL1029" s="3066">
        <v>957.45</v>
      </c>
      <c r="AM1029" s="3066">
        <v>0</v>
      </c>
      <c r="AN1029" s="3066" t="s">
        <v>3560</v>
      </c>
      <c r="AP1029" s="3068">
        <f t="shared" si="16"/>
        <v>20</v>
      </c>
    </row>
    <row r="1030" spans="2:42" ht="27" customHeight="1">
      <c r="B1030" s="3066">
        <v>1163</v>
      </c>
      <c r="C1030" s="3066" t="s">
        <v>3214</v>
      </c>
      <c r="D1030" s="3066" t="s">
        <v>3972</v>
      </c>
      <c r="E1030" s="3066" t="s">
        <v>6695</v>
      </c>
      <c r="F1030" s="3066" t="s">
        <v>3917</v>
      </c>
      <c r="G1030" s="3066" t="s">
        <v>1373</v>
      </c>
      <c r="H1030" s="3066" t="s">
        <v>3560</v>
      </c>
      <c r="I1030" s="3066" t="s">
        <v>3909</v>
      </c>
      <c r="J1030" s="3066" t="s">
        <v>3910</v>
      </c>
      <c r="K1030" s="3066" t="s">
        <v>3560</v>
      </c>
      <c r="L1030" s="3066" t="s">
        <v>3911</v>
      </c>
      <c r="M1030" s="3066" t="s">
        <v>6695</v>
      </c>
      <c r="N1030" s="3066">
        <v>35</v>
      </c>
      <c r="O1030" s="3066" t="s">
        <v>3942</v>
      </c>
      <c r="P1030" s="3066" t="s">
        <v>3566</v>
      </c>
      <c r="Q1030" s="3066">
        <v>0</v>
      </c>
      <c r="R1030" s="3066">
        <v>0</v>
      </c>
      <c r="S1030" s="3066" t="s">
        <v>3577</v>
      </c>
      <c r="T1030" s="3066">
        <v>21</v>
      </c>
      <c r="U1030" s="3066">
        <v>735</v>
      </c>
      <c r="V1030" s="3066" t="s">
        <v>3560</v>
      </c>
      <c r="W1030" s="3066" t="s">
        <v>3568</v>
      </c>
      <c r="X1030" s="3066">
        <v>2</v>
      </c>
      <c r="Y1030" s="3066">
        <v>840</v>
      </c>
      <c r="Z1030" s="3066" t="s">
        <v>3568</v>
      </c>
      <c r="AA1030" s="3066" t="s">
        <v>3560</v>
      </c>
      <c r="AB1030" s="3066" t="s">
        <v>3943</v>
      </c>
      <c r="AC1030" s="3066" t="s">
        <v>3943</v>
      </c>
      <c r="AD1030" s="3066" t="s">
        <v>3943</v>
      </c>
      <c r="AE1030" s="3066" t="s">
        <v>3560</v>
      </c>
      <c r="AF1030" s="3067">
        <v>700</v>
      </c>
      <c r="AG1030" s="3066">
        <v>0</v>
      </c>
      <c r="AH1030" s="3066">
        <v>70</v>
      </c>
      <c r="AI1030" s="3066">
        <v>0</v>
      </c>
      <c r="AJ1030" s="3066">
        <v>187.45</v>
      </c>
      <c r="AK1030" s="3066">
        <v>0</v>
      </c>
      <c r="AL1030" s="3066">
        <v>957.45</v>
      </c>
      <c r="AM1030" s="3066">
        <v>0</v>
      </c>
      <c r="AN1030" s="3066" t="s">
        <v>3560</v>
      </c>
      <c r="AP1030" s="3068">
        <f t="shared" si="16"/>
        <v>20</v>
      </c>
    </row>
    <row r="1031" spans="2:42" ht="27" customHeight="1">
      <c r="B1031" s="3066">
        <v>1164</v>
      </c>
      <c r="C1031" s="3066" t="s">
        <v>3214</v>
      </c>
      <c r="D1031" s="3066" t="s">
        <v>3972</v>
      </c>
      <c r="E1031" s="3066" t="s">
        <v>6696</v>
      </c>
      <c r="F1031" s="3066" t="s">
        <v>3917</v>
      </c>
      <c r="G1031" s="3066" t="s">
        <v>1373</v>
      </c>
      <c r="H1031" s="3066" t="s">
        <v>3560</v>
      </c>
      <c r="I1031" s="3066" t="s">
        <v>3909</v>
      </c>
      <c r="J1031" s="3066" t="s">
        <v>3910</v>
      </c>
      <c r="K1031" s="3066" t="s">
        <v>3560</v>
      </c>
      <c r="L1031" s="3066" t="s">
        <v>3911</v>
      </c>
      <c r="M1031" s="3066" t="s">
        <v>6696</v>
      </c>
      <c r="N1031" s="3066">
        <v>35</v>
      </c>
      <c r="O1031" s="3066" t="s">
        <v>3939</v>
      </c>
      <c r="P1031" s="3066" t="s">
        <v>3940</v>
      </c>
      <c r="Q1031" s="3066">
        <v>1</v>
      </c>
      <c r="R1031" s="3066">
        <v>0</v>
      </c>
      <c r="S1031" s="3066" t="s">
        <v>3577</v>
      </c>
      <c r="T1031" s="3066">
        <v>20</v>
      </c>
      <c r="U1031" s="3066">
        <v>700</v>
      </c>
      <c r="V1031" s="3066" t="s">
        <v>3560</v>
      </c>
      <c r="W1031" s="3066" t="s">
        <v>3568</v>
      </c>
      <c r="X1031" s="3066">
        <v>2</v>
      </c>
      <c r="Y1031" s="3066">
        <v>840</v>
      </c>
      <c r="Z1031" s="3066" t="s">
        <v>3568</v>
      </c>
      <c r="AA1031" s="3066" t="s">
        <v>3560</v>
      </c>
      <c r="AB1031" s="3066" t="s">
        <v>3941</v>
      </c>
      <c r="AC1031" s="3066" t="s">
        <v>3941</v>
      </c>
      <c r="AD1031" s="3066" t="s">
        <v>3941</v>
      </c>
      <c r="AE1031" s="3066" t="s">
        <v>3560</v>
      </c>
      <c r="AF1031" s="3067">
        <v>700</v>
      </c>
      <c r="AG1031" s="3066">
        <v>0</v>
      </c>
      <c r="AH1031" s="3066">
        <v>70</v>
      </c>
      <c r="AI1031" s="3066">
        <v>0</v>
      </c>
      <c r="AJ1031" s="3066">
        <v>30.77</v>
      </c>
      <c r="AK1031" s="3066">
        <v>0</v>
      </c>
      <c r="AL1031" s="3066">
        <v>800.77</v>
      </c>
      <c r="AM1031" s="3066">
        <v>0</v>
      </c>
      <c r="AN1031" s="3066" t="s">
        <v>3560</v>
      </c>
      <c r="AP1031" s="3068">
        <f t="shared" si="16"/>
        <v>20</v>
      </c>
    </row>
    <row r="1032" spans="2:42" ht="27" customHeight="1">
      <c r="B1032" s="3066">
        <v>1165</v>
      </c>
      <c r="C1032" s="3066" t="s">
        <v>3214</v>
      </c>
      <c r="D1032" s="3066" t="s">
        <v>3972</v>
      </c>
      <c r="E1032" s="3066" t="s">
        <v>6696</v>
      </c>
      <c r="F1032" s="3066" t="s">
        <v>3917</v>
      </c>
      <c r="G1032" s="3066" t="s">
        <v>1373</v>
      </c>
      <c r="H1032" s="3066" t="s">
        <v>3560</v>
      </c>
      <c r="I1032" s="3066" t="s">
        <v>3909</v>
      </c>
      <c r="J1032" s="3066" t="s">
        <v>3910</v>
      </c>
      <c r="K1032" s="3066" t="s">
        <v>3560</v>
      </c>
      <c r="L1032" s="3066" t="s">
        <v>3911</v>
      </c>
      <c r="M1032" s="3066" t="s">
        <v>6696</v>
      </c>
      <c r="N1032" s="3066">
        <v>35</v>
      </c>
      <c r="O1032" s="3066" t="s">
        <v>3942</v>
      </c>
      <c r="P1032" s="3066" t="s">
        <v>3566</v>
      </c>
      <c r="Q1032" s="3066">
        <v>0</v>
      </c>
      <c r="R1032" s="3066">
        <v>0</v>
      </c>
      <c r="S1032" s="3066" t="s">
        <v>3577</v>
      </c>
      <c r="T1032" s="3066">
        <v>21</v>
      </c>
      <c r="U1032" s="3066">
        <v>735</v>
      </c>
      <c r="V1032" s="3066" t="s">
        <v>3560</v>
      </c>
      <c r="W1032" s="3066" t="s">
        <v>3568</v>
      </c>
      <c r="X1032" s="3066">
        <v>2</v>
      </c>
      <c r="Y1032" s="3066">
        <v>840</v>
      </c>
      <c r="Z1032" s="3066" t="s">
        <v>3568</v>
      </c>
      <c r="AA1032" s="3066" t="s">
        <v>3560</v>
      </c>
      <c r="AB1032" s="3066" t="s">
        <v>3943</v>
      </c>
      <c r="AC1032" s="3066" t="s">
        <v>3943</v>
      </c>
      <c r="AD1032" s="3066" t="s">
        <v>3943</v>
      </c>
      <c r="AE1032" s="3066" t="s">
        <v>3560</v>
      </c>
      <c r="AF1032" s="3067">
        <v>700</v>
      </c>
      <c r="AG1032" s="3066">
        <v>0</v>
      </c>
      <c r="AH1032" s="3066">
        <v>70</v>
      </c>
      <c r="AI1032" s="3066">
        <v>0</v>
      </c>
      <c r="AJ1032" s="3066">
        <v>30.77</v>
      </c>
      <c r="AK1032" s="3066">
        <v>0</v>
      </c>
      <c r="AL1032" s="3066">
        <v>800.77</v>
      </c>
      <c r="AM1032" s="3066">
        <v>0</v>
      </c>
      <c r="AN1032" s="3066" t="s">
        <v>3560</v>
      </c>
      <c r="AP1032" s="3068">
        <f t="shared" si="16"/>
        <v>20</v>
      </c>
    </row>
    <row r="1033" spans="2:42" ht="27" customHeight="1">
      <c r="B1033" s="3066">
        <v>1166</v>
      </c>
      <c r="C1033" s="3066" t="s">
        <v>3214</v>
      </c>
      <c r="D1033" s="3066" t="s">
        <v>3972</v>
      </c>
      <c r="E1033" s="3066" t="s">
        <v>6697</v>
      </c>
      <c r="F1033" s="3066" t="s">
        <v>3917</v>
      </c>
      <c r="G1033" s="3066" t="s">
        <v>1373</v>
      </c>
      <c r="H1033" s="3066" t="s">
        <v>3560</v>
      </c>
      <c r="I1033" s="3066" t="s">
        <v>3909</v>
      </c>
      <c r="J1033" s="3066" t="s">
        <v>3910</v>
      </c>
      <c r="K1033" s="3066" t="s">
        <v>3560</v>
      </c>
      <c r="L1033" s="3066" t="s">
        <v>3911</v>
      </c>
      <c r="M1033" s="3066" t="s">
        <v>6697</v>
      </c>
      <c r="N1033" s="3066">
        <v>35</v>
      </c>
      <c r="O1033" s="3066" t="s">
        <v>3939</v>
      </c>
      <c r="P1033" s="3066" t="s">
        <v>3940</v>
      </c>
      <c r="Q1033" s="3066">
        <v>1</v>
      </c>
      <c r="R1033" s="3066">
        <v>0</v>
      </c>
      <c r="S1033" s="3066" t="s">
        <v>3577</v>
      </c>
      <c r="T1033" s="3066">
        <v>20</v>
      </c>
      <c r="U1033" s="3066">
        <v>700</v>
      </c>
      <c r="V1033" s="3066" t="s">
        <v>3560</v>
      </c>
      <c r="W1033" s="3066" t="s">
        <v>3568</v>
      </c>
      <c r="X1033" s="3066">
        <v>2</v>
      </c>
      <c r="Y1033" s="3066">
        <v>840</v>
      </c>
      <c r="Z1033" s="3066" t="s">
        <v>3568</v>
      </c>
      <c r="AA1033" s="3066" t="s">
        <v>3560</v>
      </c>
      <c r="AB1033" s="3066" t="s">
        <v>3941</v>
      </c>
      <c r="AC1033" s="3066" t="s">
        <v>3941</v>
      </c>
      <c r="AD1033" s="3066" t="s">
        <v>3941</v>
      </c>
      <c r="AE1033" s="3066" t="s">
        <v>3560</v>
      </c>
      <c r="AF1033" s="3067">
        <v>700</v>
      </c>
      <c r="AG1033" s="3066">
        <v>0</v>
      </c>
      <c r="AH1033" s="3066">
        <v>70</v>
      </c>
      <c r="AI1033" s="3066">
        <v>0</v>
      </c>
      <c r="AJ1033" s="3066">
        <v>111.72</v>
      </c>
      <c r="AK1033" s="3066">
        <v>0</v>
      </c>
      <c r="AL1033" s="3066">
        <v>881.72</v>
      </c>
      <c r="AM1033" s="3066">
        <v>0</v>
      </c>
      <c r="AN1033" s="3066" t="s">
        <v>3560</v>
      </c>
      <c r="AP1033" s="3068">
        <f t="shared" si="16"/>
        <v>20</v>
      </c>
    </row>
    <row r="1034" spans="2:42" ht="27" customHeight="1">
      <c r="B1034" s="3066">
        <v>1167</v>
      </c>
      <c r="C1034" s="3066" t="s">
        <v>3214</v>
      </c>
      <c r="D1034" s="3066" t="s">
        <v>3972</v>
      </c>
      <c r="E1034" s="3066" t="s">
        <v>6697</v>
      </c>
      <c r="F1034" s="3066" t="s">
        <v>3917</v>
      </c>
      <c r="G1034" s="3066" t="s">
        <v>1373</v>
      </c>
      <c r="H1034" s="3066" t="s">
        <v>3560</v>
      </c>
      <c r="I1034" s="3066" t="s">
        <v>3909</v>
      </c>
      <c r="J1034" s="3066" t="s">
        <v>3910</v>
      </c>
      <c r="K1034" s="3066" t="s">
        <v>3560</v>
      </c>
      <c r="L1034" s="3066" t="s">
        <v>3911</v>
      </c>
      <c r="M1034" s="3066" t="s">
        <v>6697</v>
      </c>
      <c r="N1034" s="3066">
        <v>35</v>
      </c>
      <c r="O1034" s="3066" t="s">
        <v>3942</v>
      </c>
      <c r="P1034" s="3066" t="s">
        <v>3566</v>
      </c>
      <c r="Q1034" s="3066">
        <v>0</v>
      </c>
      <c r="R1034" s="3066">
        <v>0</v>
      </c>
      <c r="S1034" s="3066" t="s">
        <v>3577</v>
      </c>
      <c r="T1034" s="3066">
        <v>21</v>
      </c>
      <c r="U1034" s="3066">
        <v>735</v>
      </c>
      <c r="V1034" s="3066" t="s">
        <v>3560</v>
      </c>
      <c r="W1034" s="3066" t="s">
        <v>3568</v>
      </c>
      <c r="X1034" s="3066">
        <v>2</v>
      </c>
      <c r="Y1034" s="3066">
        <v>840</v>
      </c>
      <c r="Z1034" s="3066" t="s">
        <v>3568</v>
      </c>
      <c r="AA1034" s="3066" t="s">
        <v>3560</v>
      </c>
      <c r="AB1034" s="3066" t="s">
        <v>3943</v>
      </c>
      <c r="AC1034" s="3066" t="s">
        <v>3943</v>
      </c>
      <c r="AD1034" s="3066" t="s">
        <v>3943</v>
      </c>
      <c r="AE1034" s="3066" t="s">
        <v>3560</v>
      </c>
      <c r="AF1034" s="3067">
        <v>700</v>
      </c>
      <c r="AG1034" s="3066">
        <v>0</v>
      </c>
      <c r="AH1034" s="3066">
        <v>70</v>
      </c>
      <c r="AI1034" s="3066">
        <v>0</v>
      </c>
      <c r="AJ1034" s="3066">
        <v>111.72</v>
      </c>
      <c r="AK1034" s="3066">
        <v>0</v>
      </c>
      <c r="AL1034" s="3066">
        <v>881.72</v>
      </c>
      <c r="AM1034" s="3066">
        <v>0</v>
      </c>
      <c r="AN1034" s="3066" t="s">
        <v>3560</v>
      </c>
      <c r="AP1034" s="3068">
        <f t="shared" si="16"/>
        <v>20</v>
      </c>
    </row>
    <row r="1035" spans="2:42" ht="27" customHeight="1">
      <c r="B1035" s="3066">
        <v>1168</v>
      </c>
      <c r="C1035" s="3066" t="s">
        <v>3214</v>
      </c>
      <c r="D1035" s="3066" t="s">
        <v>3972</v>
      </c>
      <c r="E1035" s="3066" t="s">
        <v>6698</v>
      </c>
      <c r="F1035" s="3066" t="s">
        <v>3917</v>
      </c>
      <c r="G1035" s="3066" t="s">
        <v>1373</v>
      </c>
      <c r="H1035" s="3066" t="s">
        <v>3560</v>
      </c>
      <c r="I1035" s="3066" t="s">
        <v>3909</v>
      </c>
      <c r="J1035" s="3066" t="s">
        <v>3910</v>
      </c>
      <c r="K1035" s="3066" t="s">
        <v>3560</v>
      </c>
      <c r="L1035" s="3066" t="s">
        <v>3911</v>
      </c>
      <c r="M1035" s="3066" t="s">
        <v>6698</v>
      </c>
      <c r="N1035" s="3066">
        <v>35</v>
      </c>
      <c r="O1035" s="3066" t="s">
        <v>3939</v>
      </c>
      <c r="P1035" s="3066" t="s">
        <v>3940</v>
      </c>
      <c r="Q1035" s="3066">
        <v>1</v>
      </c>
      <c r="R1035" s="3066">
        <v>0</v>
      </c>
      <c r="S1035" s="3066" t="s">
        <v>3577</v>
      </c>
      <c r="T1035" s="3066">
        <v>20</v>
      </c>
      <c r="U1035" s="3066">
        <v>700</v>
      </c>
      <c r="V1035" s="3066" t="s">
        <v>3560</v>
      </c>
      <c r="W1035" s="3066" t="s">
        <v>3568</v>
      </c>
      <c r="X1035" s="3066">
        <v>2</v>
      </c>
      <c r="Y1035" s="3066">
        <v>840</v>
      </c>
      <c r="Z1035" s="3066" t="s">
        <v>3568</v>
      </c>
      <c r="AA1035" s="3066" t="s">
        <v>3560</v>
      </c>
      <c r="AB1035" s="3066" t="s">
        <v>3941</v>
      </c>
      <c r="AC1035" s="3066" t="s">
        <v>3941</v>
      </c>
      <c r="AD1035" s="3066" t="s">
        <v>3941</v>
      </c>
      <c r="AE1035" s="3066" t="s">
        <v>3560</v>
      </c>
      <c r="AF1035" s="3067">
        <v>700</v>
      </c>
      <c r="AG1035" s="3066">
        <v>0</v>
      </c>
      <c r="AH1035" s="3066">
        <v>70</v>
      </c>
      <c r="AI1035" s="3066">
        <v>0</v>
      </c>
      <c r="AJ1035" s="3066">
        <v>29.8</v>
      </c>
      <c r="AK1035" s="3066">
        <v>0</v>
      </c>
      <c r="AL1035" s="3066">
        <v>799.8</v>
      </c>
      <c r="AM1035" s="3066">
        <v>0</v>
      </c>
      <c r="AN1035" s="3066" t="s">
        <v>3560</v>
      </c>
      <c r="AP1035" s="3068">
        <f t="shared" si="16"/>
        <v>20</v>
      </c>
    </row>
    <row r="1036" spans="2:42" ht="27" customHeight="1">
      <c r="B1036" s="3066">
        <v>1169</v>
      </c>
      <c r="C1036" s="3066" t="s">
        <v>3214</v>
      </c>
      <c r="D1036" s="3066" t="s">
        <v>3972</v>
      </c>
      <c r="E1036" s="3066" t="s">
        <v>6698</v>
      </c>
      <c r="F1036" s="3066" t="s">
        <v>3917</v>
      </c>
      <c r="G1036" s="3066" t="s">
        <v>1373</v>
      </c>
      <c r="H1036" s="3066" t="s">
        <v>3560</v>
      </c>
      <c r="I1036" s="3066" t="s">
        <v>3909</v>
      </c>
      <c r="J1036" s="3066" t="s">
        <v>3910</v>
      </c>
      <c r="K1036" s="3066" t="s">
        <v>3560</v>
      </c>
      <c r="L1036" s="3066" t="s">
        <v>3911</v>
      </c>
      <c r="M1036" s="3066" t="s">
        <v>6698</v>
      </c>
      <c r="N1036" s="3066">
        <v>35</v>
      </c>
      <c r="O1036" s="3066" t="s">
        <v>3942</v>
      </c>
      <c r="P1036" s="3066" t="s">
        <v>3566</v>
      </c>
      <c r="Q1036" s="3066">
        <v>0</v>
      </c>
      <c r="R1036" s="3066">
        <v>0</v>
      </c>
      <c r="S1036" s="3066" t="s">
        <v>3577</v>
      </c>
      <c r="T1036" s="3066">
        <v>21</v>
      </c>
      <c r="U1036" s="3066">
        <v>735</v>
      </c>
      <c r="V1036" s="3066" t="s">
        <v>3560</v>
      </c>
      <c r="W1036" s="3066" t="s">
        <v>3568</v>
      </c>
      <c r="X1036" s="3066">
        <v>2</v>
      </c>
      <c r="Y1036" s="3066">
        <v>840</v>
      </c>
      <c r="Z1036" s="3066" t="s">
        <v>3568</v>
      </c>
      <c r="AA1036" s="3066" t="s">
        <v>3560</v>
      </c>
      <c r="AB1036" s="3066" t="s">
        <v>3943</v>
      </c>
      <c r="AC1036" s="3066" t="s">
        <v>3943</v>
      </c>
      <c r="AD1036" s="3066" t="s">
        <v>3943</v>
      </c>
      <c r="AE1036" s="3066" t="s">
        <v>3560</v>
      </c>
      <c r="AF1036" s="3067">
        <v>700</v>
      </c>
      <c r="AG1036" s="3066">
        <v>0</v>
      </c>
      <c r="AH1036" s="3066">
        <v>70</v>
      </c>
      <c r="AI1036" s="3066">
        <v>0</v>
      </c>
      <c r="AJ1036" s="3066">
        <v>29.8</v>
      </c>
      <c r="AK1036" s="3066">
        <v>0</v>
      </c>
      <c r="AL1036" s="3066">
        <v>799.8</v>
      </c>
      <c r="AM1036" s="3066">
        <v>0</v>
      </c>
      <c r="AN1036" s="3066" t="s">
        <v>3560</v>
      </c>
      <c r="AP1036" s="3068">
        <f t="shared" si="16"/>
        <v>20</v>
      </c>
    </row>
    <row r="1037" spans="2:42" ht="27" customHeight="1">
      <c r="B1037" s="3066">
        <v>1170</v>
      </c>
      <c r="C1037" s="3066" t="s">
        <v>3214</v>
      </c>
      <c r="D1037" s="3066" t="s">
        <v>3972</v>
      </c>
      <c r="E1037" s="3066" t="s">
        <v>6699</v>
      </c>
      <c r="F1037" s="3066" t="s">
        <v>3917</v>
      </c>
      <c r="G1037" s="3066" t="s">
        <v>1373</v>
      </c>
      <c r="H1037" s="3066" t="s">
        <v>3560</v>
      </c>
      <c r="I1037" s="3066" t="s">
        <v>3909</v>
      </c>
      <c r="J1037" s="3066" t="s">
        <v>3910</v>
      </c>
      <c r="K1037" s="3066" t="s">
        <v>3560</v>
      </c>
      <c r="L1037" s="3066" t="s">
        <v>3911</v>
      </c>
      <c r="M1037" s="3066" t="s">
        <v>6699</v>
      </c>
      <c r="N1037" s="3066">
        <v>35</v>
      </c>
      <c r="O1037" s="3066" t="s">
        <v>3931</v>
      </c>
      <c r="P1037" s="3066" t="s">
        <v>3566</v>
      </c>
      <c r="Q1037" s="3066">
        <v>1</v>
      </c>
      <c r="R1037" s="3066">
        <v>0</v>
      </c>
      <c r="S1037" s="3066" t="s">
        <v>3577</v>
      </c>
      <c r="T1037" s="3066">
        <v>20</v>
      </c>
      <c r="U1037" s="3066">
        <v>700</v>
      </c>
      <c r="V1037" s="3066" t="s">
        <v>3560</v>
      </c>
      <c r="W1037" s="3066" t="s">
        <v>3568</v>
      </c>
      <c r="X1037" s="3066">
        <v>2</v>
      </c>
      <c r="Y1037" s="3066">
        <v>840</v>
      </c>
      <c r="Z1037" s="3066" t="s">
        <v>3568</v>
      </c>
      <c r="AA1037" s="3066" t="s">
        <v>3560</v>
      </c>
      <c r="AB1037" s="3066" t="s">
        <v>3932</v>
      </c>
      <c r="AC1037" s="3066" t="s">
        <v>3932</v>
      </c>
      <c r="AD1037" s="3066" t="s">
        <v>3932</v>
      </c>
      <c r="AE1037" s="3066" t="s">
        <v>3560</v>
      </c>
      <c r="AF1037" s="3067">
        <v>700</v>
      </c>
      <c r="AG1037" s="3066">
        <v>0</v>
      </c>
      <c r="AH1037" s="3066">
        <v>70</v>
      </c>
      <c r="AI1037" s="3066">
        <v>0</v>
      </c>
      <c r="AJ1037" s="3066">
        <v>21.83</v>
      </c>
      <c r="AK1037" s="3066">
        <v>0</v>
      </c>
      <c r="AL1037" s="3066">
        <v>791.83</v>
      </c>
      <c r="AM1037" s="3066">
        <v>0</v>
      </c>
      <c r="AN1037" s="3066" t="s">
        <v>3560</v>
      </c>
      <c r="AP1037" s="3068">
        <f t="shared" si="16"/>
        <v>20</v>
      </c>
    </row>
    <row r="1038" spans="2:42" ht="27" customHeight="1">
      <c r="B1038" s="3066">
        <v>1171</v>
      </c>
      <c r="C1038" s="3066" t="s">
        <v>3214</v>
      </c>
      <c r="D1038" s="3066" t="s">
        <v>3972</v>
      </c>
      <c r="E1038" s="3066" t="s">
        <v>6700</v>
      </c>
      <c r="F1038" s="3066" t="s">
        <v>3917</v>
      </c>
      <c r="G1038" s="3066" t="s">
        <v>1373</v>
      </c>
      <c r="H1038" s="3066" t="s">
        <v>3560</v>
      </c>
      <c r="I1038" s="3066" t="s">
        <v>6256</v>
      </c>
      <c r="J1038" s="3066" t="s">
        <v>3560</v>
      </c>
      <c r="K1038" s="3066" t="s">
        <v>3560</v>
      </c>
      <c r="L1038" s="3066" t="s">
        <v>6257</v>
      </c>
      <c r="M1038" s="3066" t="s">
        <v>6700</v>
      </c>
      <c r="N1038" s="3066">
        <v>35</v>
      </c>
      <c r="O1038" s="3066" t="s">
        <v>3619</v>
      </c>
      <c r="P1038" s="3066" t="s">
        <v>3566</v>
      </c>
      <c r="Q1038" s="3066">
        <v>1</v>
      </c>
      <c r="R1038" s="3066">
        <v>3900</v>
      </c>
      <c r="S1038" s="3066" t="s">
        <v>3567</v>
      </c>
      <c r="T1038" s="3066">
        <v>21</v>
      </c>
      <c r="U1038" s="3066">
        <v>735</v>
      </c>
      <c r="V1038" s="3066" t="s">
        <v>3560</v>
      </c>
      <c r="W1038" s="3066" t="s">
        <v>3568</v>
      </c>
      <c r="X1038" s="3066">
        <v>2.29</v>
      </c>
      <c r="Y1038" s="3066">
        <v>960</v>
      </c>
      <c r="Z1038" s="3066" t="s">
        <v>3568</v>
      </c>
      <c r="AA1038" s="3066" t="s">
        <v>3560</v>
      </c>
      <c r="AB1038" s="3066" t="s">
        <v>3584</v>
      </c>
      <c r="AC1038" s="3066" t="s">
        <v>3584</v>
      </c>
      <c r="AD1038" s="3066" t="s">
        <v>3584</v>
      </c>
      <c r="AE1038" s="3066" t="s">
        <v>3560</v>
      </c>
      <c r="AF1038" s="3067">
        <v>735</v>
      </c>
      <c r="AG1038" s="3066">
        <v>735</v>
      </c>
      <c r="AH1038" s="3066">
        <v>80</v>
      </c>
      <c r="AI1038" s="3066">
        <v>80</v>
      </c>
      <c r="AJ1038" s="3066">
        <v>49.39</v>
      </c>
      <c r="AK1038" s="3066">
        <v>49.39</v>
      </c>
      <c r="AL1038" s="3066">
        <v>864.39</v>
      </c>
      <c r="AM1038" s="3066">
        <v>864.39</v>
      </c>
      <c r="AN1038" s="3066" t="s">
        <v>3560</v>
      </c>
      <c r="AP1038" s="3068">
        <f t="shared" si="16"/>
        <v>21</v>
      </c>
    </row>
    <row r="1039" spans="2:42" ht="27" customHeight="1">
      <c r="B1039" s="3066">
        <v>1172</v>
      </c>
      <c r="C1039" s="3066" t="s">
        <v>3214</v>
      </c>
      <c r="D1039" s="3066" t="s">
        <v>3972</v>
      </c>
      <c r="E1039" s="3066" t="s">
        <v>6701</v>
      </c>
      <c r="F1039" s="3066" t="s">
        <v>3917</v>
      </c>
      <c r="G1039" s="3066" t="s">
        <v>1373</v>
      </c>
      <c r="H1039" s="3066" t="s">
        <v>3560</v>
      </c>
      <c r="I1039" s="3066" t="s">
        <v>3909</v>
      </c>
      <c r="J1039" s="3066" t="s">
        <v>3910</v>
      </c>
      <c r="K1039" s="3066" t="s">
        <v>3560</v>
      </c>
      <c r="L1039" s="3066" t="s">
        <v>3911</v>
      </c>
      <c r="M1039" s="3066" t="s">
        <v>6701</v>
      </c>
      <c r="N1039" s="3066">
        <v>39</v>
      </c>
      <c r="O1039" s="3066" t="s">
        <v>3931</v>
      </c>
      <c r="P1039" s="3066" t="s">
        <v>3566</v>
      </c>
      <c r="Q1039" s="3066">
        <v>1</v>
      </c>
      <c r="R1039" s="3066">
        <v>0</v>
      </c>
      <c r="S1039" s="3066" t="s">
        <v>3577</v>
      </c>
      <c r="T1039" s="3066">
        <v>20</v>
      </c>
      <c r="U1039" s="3066">
        <v>780</v>
      </c>
      <c r="V1039" s="3066" t="s">
        <v>3560</v>
      </c>
      <c r="W1039" s="3066" t="s">
        <v>3568</v>
      </c>
      <c r="X1039" s="3066">
        <v>2</v>
      </c>
      <c r="Y1039" s="3066">
        <v>936</v>
      </c>
      <c r="Z1039" s="3066" t="s">
        <v>3568</v>
      </c>
      <c r="AA1039" s="3066" t="s">
        <v>3560</v>
      </c>
      <c r="AB1039" s="3066" t="s">
        <v>3932</v>
      </c>
      <c r="AC1039" s="3066" t="s">
        <v>3932</v>
      </c>
      <c r="AD1039" s="3066" t="s">
        <v>3932</v>
      </c>
      <c r="AE1039" s="3066" t="s">
        <v>3560</v>
      </c>
      <c r="AF1039" s="3067">
        <v>780</v>
      </c>
      <c r="AG1039" s="3066">
        <v>0</v>
      </c>
      <c r="AH1039" s="3066">
        <v>78</v>
      </c>
      <c r="AI1039" s="3066">
        <v>0</v>
      </c>
      <c r="AJ1039" s="3066">
        <v>397.98</v>
      </c>
      <c r="AK1039" s="3066">
        <v>0</v>
      </c>
      <c r="AL1039" s="3066">
        <v>1255.98</v>
      </c>
      <c r="AM1039" s="3066">
        <v>0</v>
      </c>
      <c r="AN1039" s="3066" t="s">
        <v>3560</v>
      </c>
      <c r="AP1039" s="3068">
        <f t="shared" si="16"/>
        <v>20</v>
      </c>
    </row>
    <row r="1040" spans="2:42" ht="27" customHeight="1">
      <c r="B1040" s="3066">
        <v>1174</v>
      </c>
      <c r="C1040" s="3066" t="s">
        <v>3159</v>
      </c>
      <c r="D1040" s="3066" t="s">
        <v>4019</v>
      </c>
      <c r="E1040" s="3066" t="s">
        <v>6702</v>
      </c>
      <c r="F1040" s="3066" t="s">
        <v>3917</v>
      </c>
      <c r="G1040" s="3066" t="s">
        <v>3560</v>
      </c>
      <c r="H1040" s="3066" t="s">
        <v>3560</v>
      </c>
      <c r="I1040" s="3066" t="s">
        <v>6703</v>
      </c>
      <c r="J1040" s="3066" t="s">
        <v>3560</v>
      </c>
      <c r="K1040" s="3066" t="s">
        <v>3560</v>
      </c>
      <c r="L1040" s="3066" t="s">
        <v>6704</v>
      </c>
      <c r="M1040" s="3066" t="s">
        <v>6705</v>
      </c>
      <c r="N1040" s="3066">
        <v>12</v>
      </c>
      <c r="O1040" s="3066" t="s">
        <v>6706</v>
      </c>
      <c r="P1040" s="3066" t="s">
        <v>3566</v>
      </c>
      <c r="Q1040" s="3066">
        <v>0</v>
      </c>
      <c r="R1040" s="3066">
        <v>1700</v>
      </c>
      <c r="S1040" s="3066" t="s">
        <v>3567</v>
      </c>
      <c r="T1040" s="3066">
        <v>70.83</v>
      </c>
      <c r="U1040" s="3066">
        <v>850</v>
      </c>
      <c r="V1040" s="3066" t="s">
        <v>3560</v>
      </c>
      <c r="W1040" s="3066" t="s">
        <v>3568</v>
      </c>
      <c r="X1040" s="3066">
        <v>2.1</v>
      </c>
      <c r="Y1040" s="3066">
        <v>302.39999999999998</v>
      </c>
      <c r="Z1040" s="3066" t="s">
        <v>3568</v>
      </c>
      <c r="AA1040" s="3066" t="s">
        <v>3560</v>
      </c>
      <c r="AB1040" s="3066" t="s">
        <v>5687</v>
      </c>
      <c r="AC1040" s="3066" t="s">
        <v>5687</v>
      </c>
      <c r="AD1040" s="3066" t="s">
        <v>5687</v>
      </c>
      <c r="AE1040" s="3066" t="s">
        <v>3560</v>
      </c>
      <c r="AF1040" s="3067">
        <v>850</v>
      </c>
      <c r="AG1040" s="3066">
        <v>0</v>
      </c>
      <c r="AH1040" s="3066">
        <v>25.2</v>
      </c>
      <c r="AI1040" s="3066">
        <v>0</v>
      </c>
      <c r="AJ1040" s="3066">
        <v>14.4</v>
      </c>
      <c r="AK1040" s="3066">
        <v>0</v>
      </c>
      <c r="AL1040" s="3066">
        <v>889.6</v>
      </c>
      <c r="AM1040" s="3066">
        <v>0</v>
      </c>
      <c r="AN1040" s="3066" t="s">
        <v>3560</v>
      </c>
      <c r="AP1040" s="3068">
        <f t="shared" si="16"/>
        <v>70.833333333333329</v>
      </c>
    </row>
    <row r="1041" spans="2:42" ht="27" customHeight="1">
      <c r="B1041" s="3066">
        <v>1175</v>
      </c>
      <c r="C1041" s="3066" t="s">
        <v>3159</v>
      </c>
      <c r="D1041" s="3066" t="s">
        <v>4053</v>
      </c>
      <c r="E1041" s="3066" t="s">
        <v>6707</v>
      </c>
      <c r="F1041" s="3066" t="s">
        <v>3917</v>
      </c>
      <c r="G1041" s="3066" t="s">
        <v>3560</v>
      </c>
      <c r="H1041" s="3066" t="s">
        <v>3560</v>
      </c>
      <c r="I1041" s="3066" t="s">
        <v>4880</v>
      </c>
      <c r="J1041" s="3066" t="s">
        <v>4881</v>
      </c>
      <c r="K1041" s="3066" t="s">
        <v>3560</v>
      </c>
      <c r="L1041" s="3066" t="s">
        <v>4882</v>
      </c>
      <c r="M1041" s="3066" t="s">
        <v>6708</v>
      </c>
      <c r="N1041" s="3066">
        <v>40.299999999999997</v>
      </c>
      <c r="O1041" s="3066" t="s">
        <v>6709</v>
      </c>
      <c r="P1041" s="3066" t="s">
        <v>3566</v>
      </c>
      <c r="Q1041" s="3066">
        <v>1</v>
      </c>
      <c r="R1041" s="3066">
        <v>10500</v>
      </c>
      <c r="S1041" s="3066" t="s">
        <v>3567</v>
      </c>
      <c r="T1041" s="3066">
        <v>43.42</v>
      </c>
      <c r="U1041" s="3066">
        <v>1750</v>
      </c>
      <c r="V1041" s="3066" t="s">
        <v>3560</v>
      </c>
      <c r="W1041" s="3066" t="s">
        <v>3568</v>
      </c>
      <c r="X1041" s="3066">
        <v>2.1</v>
      </c>
      <c r="Y1041" s="3066">
        <v>1015.56</v>
      </c>
      <c r="Z1041" s="3066" t="s">
        <v>3568</v>
      </c>
      <c r="AA1041" s="3066" t="s">
        <v>3560</v>
      </c>
      <c r="AB1041" s="3066" t="s">
        <v>6710</v>
      </c>
      <c r="AC1041" s="3066" t="s">
        <v>6710</v>
      </c>
      <c r="AD1041" s="3066" t="s">
        <v>6710</v>
      </c>
      <c r="AE1041" s="3066" t="s">
        <v>3560</v>
      </c>
      <c r="AF1041" s="3067">
        <v>1750</v>
      </c>
      <c r="AG1041" s="3066">
        <v>1750</v>
      </c>
      <c r="AH1041" s="3066">
        <v>84.63</v>
      </c>
      <c r="AI1041" s="3066">
        <v>84.63</v>
      </c>
      <c r="AJ1041" s="3066">
        <v>255.59</v>
      </c>
      <c r="AK1041" s="3066">
        <v>255.59</v>
      </c>
      <c r="AL1041" s="3066">
        <v>2090.2199999999998</v>
      </c>
      <c r="AM1041" s="3066">
        <v>2090.2199999999998</v>
      </c>
      <c r="AN1041" s="3066" t="s">
        <v>3560</v>
      </c>
      <c r="AP1041" s="3068">
        <f t="shared" si="16"/>
        <v>43.424317617866009</v>
      </c>
    </row>
    <row r="1042" spans="2:42" ht="27" customHeight="1">
      <c r="B1042" s="3066">
        <v>1176</v>
      </c>
      <c r="C1042" s="3066" t="s">
        <v>3159</v>
      </c>
      <c r="D1042" s="3066" t="s">
        <v>4053</v>
      </c>
      <c r="E1042" s="3066" t="s">
        <v>6711</v>
      </c>
      <c r="F1042" s="3066" t="s">
        <v>3917</v>
      </c>
      <c r="G1042" s="3066" t="s">
        <v>1373</v>
      </c>
      <c r="H1042" s="3066" t="s">
        <v>3560</v>
      </c>
      <c r="I1042" s="3066" t="s">
        <v>4837</v>
      </c>
      <c r="J1042" s="3066" t="s">
        <v>4838</v>
      </c>
      <c r="K1042" s="3066" t="s">
        <v>3560</v>
      </c>
      <c r="L1042" s="3066" t="s">
        <v>4839</v>
      </c>
      <c r="M1042" s="3066" t="s">
        <v>6712</v>
      </c>
      <c r="N1042" s="3066">
        <v>40.299999999999997</v>
      </c>
      <c r="O1042" s="3066" t="s">
        <v>5771</v>
      </c>
      <c r="P1042" s="3066" t="s">
        <v>3566</v>
      </c>
      <c r="Q1042" s="3066">
        <v>0</v>
      </c>
      <c r="R1042" s="3066">
        <v>10500</v>
      </c>
      <c r="S1042" s="3066" t="s">
        <v>3567</v>
      </c>
      <c r="T1042" s="3066">
        <v>43.42</v>
      </c>
      <c r="U1042" s="3066">
        <v>1750</v>
      </c>
      <c r="V1042" s="3066" t="s">
        <v>3560</v>
      </c>
      <c r="W1042" s="3066" t="s">
        <v>3568</v>
      </c>
      <c r="X1042" s="3066">
        <v>2.1</v>
      </c>
      <c r="Y1042" s="3066">
        <v>1015.56</v>
      </c>
      <c r="Z1042" s="3066" t="s">
        <v>3568</v>
      </c>
      <c r="AA1042" s="3066" t="s">
        <v>3560</v>
      </c>
      <c r="AB1042" s="3066" t="s">
        <v>5772</v>
      </c>
      <c r="AC1042" s="3066" t="s">
        <v>5772</v>
      </c>
      <c r="AD1042" s="3066" t="s">
        <v>5772</v>
      </c>
      <c r="AE1042" s="3066" t="s">
        <v>3560</v>
      </c>
      <c r="AF1042" s="3067">
        <v>1750</v>
      </c>
      <c r="AG1042" s="3066">
        <v>1750</v>
      </c>
      <c r="AH1042" s="3066">
        <v>84.63</v>
      </c>
      <c r="AI1042" s="3066">
        <v>84.63</v>
      </c>
      <c r="AJ1042" s="3066">
        <v>277.72000000000003</v>
      </c>
      <c r="AK1042" s="3066">
        <v>277.72000000000003</v>
      </c>
      <c r="AL1042" s="3066">
        <v>2112.35</v>
      </c>
      <c r="AM1042" s="3066">
        <v>2112.35</v>
      </c>
      <c r="AN1042" s="3066" t="s">
        <v>3560</v>
      </c>
      <c r="AP1042" s="3068">
        <f t="shared" si="16"/>
        <v>43.424317617866009</v>
      </c>
    </row>
    <row r="1043" spans="2:42" ht="27" customHeight="1">
      <c r="B1043" s="3066">
        <v>1177</v>
      </c>
      <c r="C1043" s="3066" t="s">
        <v>3159</v>
      </c>
      <c r="D1043" s="3066" t="s">
        <v>4053</v>
      </c>
      <c r="E1043" s="3066" t="s">
        <v>6713</v>
      </c>
      <c r="F1043" s="3066" t="s">
        <v>3917</v>
      </c>
      <c r="G1043" s="3066" t="s">
        <v>1373</v>
      </c>
      <c r="H1043" s="3066" t="s">
        <v>3560</v>
      </c>
      <c r="I1043" s="3066" t="s">
        <v>4837</v>
      </c>
      <c r="J1043" s="3066" t="s">
        <v>4838</v>
      </c>
      <c r="K1043" s="3066" t="s">
        <v>3560</v>
      </c>
      <c r="L1043" s="3066" t="s">
        <v>4839</v>
      </c>
      <c r="M1043" s="3066" t="s">
        <v>6714</v>
      </c>
      <c r="N1043" s="3066">
        <v>40.299999999999997</v>
      </c>
      <c r="O1043" s="3066" t="s">
        <v>5771</v>
      </c>
      <c r="P1043" s="3066" t="s">
        <v>3566</v>
      </c>
      <c r="Q1043" s="3066">
        <v>0</v>
      </c>
      <c r="R1043" s="3066">
        <v>0</v>
      </c>
      <c r="S1043" s="3066" t="s">
        <v>3577</v>
      </c>
      <c r="T1043" s="3066">
        <v>43.42</v>
      </c>
      <c r="U1043" s="3066">
        <v>1750</v>
      </c>
      <c r="V1043" s="3066" t="s">
        <v>3560</v>
      </c>
      <c r="W1043" s="3066" t="s">
        <v>3568</v>
      </c>
      <c r="X1043" s="3066">
        <v>2.1</v>
      </c>
      <c r="Y1043" s="3066">
        <v>1015.56</v>
      </c>
      <c r="Z1043" s="3066" t="s">
        <v>3568</v>
      </c>
      <c r="AA1043" s="3066" t="s">
        <v>3560</v>
      </c>
      <c r="AB1043" s="3066" t="s">
        <v>5772</v>
      </c>
      <c r="AC1043" s="3066" t="s">
        <v>5772</v>
      </c>
      <c r="AD1043" s="3066" t="s">
        <v>5772</v>
      </c>
      <c r="AE1043" s="3066" t="s">
        <v>3560</v>
      </c>
      <c r="AF1043" s="3067">
        <v>1750</v>
      </c>
      <c r="AG1043" s="3066">
        <v>1750</v>
      </c>
      <c r="AH1043" s="3066">
        <v>84.63</v>
      </c>
      <c r="AI1043" s="3066">
        <v>84.63</v>
      </c>
      <c r="AJ1043" s="3066">
        <v>176.39</v>
      </c>
      <c r="AK1043" s="3066">
        <v>176.39</v>
      </c>
      <c r="AL1043" s="3066">
        <v>2011.02</v>
      </c>
      <c r="AM1043" s="3066">
        <v>2011.02</v>
      </c>
      <c r="AN1043" s="3066" t="s">
        <v>3560</v>
      </c>
      <c r="AP1043" s="3068">
        <f t="shared" si="16"/>
        <v>43.424317617866009</v>
      </c>
    </row>
    <row r="1044" spans="2:42" ht="27" customHeight="1">
      <c r="B1044" s="3066">
        <v>1178</v>
      </c>
      <c r="C1044" s="3066" t="s">
        <v>3159</v>
      </c>
      <c r="D1044" s="3066" t="s">
        <v>4053</v>
      </c>
      <c r="E1044" s="3066" t="s">
        <v>6715</v>
      </c>
      <c r="F1044" s="3066" t="s">
        <v>3917</v>
      </c>
      <c r="G1044" s="3066" t="s">
        <v>1373</v>
      </c>
      <c r="H1044" s="3066" t="s">
        <v>3560</v>
      </c>
      <c r="I1044" s="3066" t="s">
        <v>4837</v>
      </c>
      <c r="J1044" s="3066" t="s">
        <v>4838</v>
      </c>
      <c r="K1044" s="3066" t="s">
        <v>3560</v>
      </c>
      <c r="L1044" s="3066" t="s">
        <v>4839</v>
      </c>
      <c r="M1044" s="3066" t="s">
        <v>6716</v>
      </c>
      <c r="N1044" s="3066">
        <v>40.299999999999997</v>
      </c>
      <c r="O1044" s="3066" t="s">
        <v>5771</v>
      </c>
      <c r="P1044" s="3066" t="s">
        <v>3566</v>
      </c>
      <c r="Q1044" s="3066">
        <v>0</v>
      </c>
      <c r="R1044" s="3066">
        <v>0</v>
      </c>
      <c r="S1044" s="3066" t="s">
        <v>3577</v>
      </c>
      <c r="T1044" s="3066">
        <v>43.42</v>
      </c>
      <c r="U1044" s="3066">
        <v>1750</v>
      </c>
      <c r="V1044" s="3066" t="s">
        <v>3560</v>
      </c>
      <c r="W1044" s="3066" t="s">
        <v>3568</v>
      </c>
      <c r="X1044" s="3066">
        <v>2.1</v>
      </c>
      <c r="Y1044" s="3066">
        <v>1015.56</v>
      </c>
      <c r="Z1044" s="3066" t="s">
        <v>3568</v>
      </c>
      <c r="AA1044" s="3066" t="s">
        <v>3560</v>
      </c>
      <c r="AB1044" s="3066" t="s">
        <v>5772</v>
      </c>
      <c r="AC1044" s="3066" t="s">
        <v>5772</v>
      </c>
      <c r="AD1044" s="3066" t="s">
        <v>5772</v>
      </c>
      <c r="AE1044" s="3066" t="s">
        <v>3560</v>
      </c>
      <c r="AF1044" s="3067">
        <v>1750</v>
      </c>
      <c r="AG1044" s="3066">
        <v>1750</v>
      </c>
      <c r="AH1044" s="3066">
        <v>84.63</v>
      </c>
      <c r="AI1044" s="3066">
        <v>84.63</v>
      </c>
      <c r="AJ1044" s="3066">
        <v>151.32</v>
      </c>
      <c r="AK1044" s="3066">
        <v>151.32</v>
      </c>
      <c r="AL1044" s="3066">
        <v>1985.95</v>
      </c>
      <c r="AM1044" s="3066">
        <v>1985.95</v>
      </c>
      <c r="AN1044" s="3066" t="s">
        <v>3560</v>
      </c>
      <c r="AP1044" s="3068">
        <f t="shared" si="16"/>
        <v>43.424317617866009</v>
      </c>
    </row>
    <row r="1045" spans="2:42" ht="27" customHeight="1">
      <c r="B1045" s="3066">
        <v>1179</v>
      </c>
      <c r="C1045" s="3066" t="s">
        <v>3159</v>
      </c>
      <c r="D1045" s="3066" t="s">
        <v>4053</v>
      </c>
      <c r="E1045" s="3066" t="s">
        <v>6717</v>
      </c>
      <c r="F1045" s="3066" t="s">
        <v>3917</v>
      </c>
      <c r="G1045" s="3066" t="s">
        <v>3560</v>
      </c>
      <c r="H1045" s="3066" t="s">
        <v>3560</v>
      </c>
      <c r="I1045" s="3066" t="s">
        <v>4880</v>
      </c>
      <c r="J1045" s="3066" t="s">
        <v>4881</v>
      </c>
      <c r="K1045" s="3066" t="s">
        <v>3560</v>
      </c>
      <c r="L1045" s="3066" t="s">
        <v>4882</v>
      </c>
      <c r="M1045" s="3066" t="s">
        <v>6718</v>
      </c>
      <c r="N1045" s="3066">
        <v>40.299999999999997</v>
      </c>
      <c r="O1045" s="3066" t="s">
        <v>6709</v>
      </c>
      <c r="P1045" s="3066" t="s">
        <v>3566</v>
      </c>
      <c r="Q1045" s="3066">
        <v>1</v>
      </c>
      <c r="R1045" s="3066">
        <v>0</v>
      </c>
      <c r="S1045" s="3066" t="s">
        <v>3577</v>
      </c>
      <c r="T1045" s="3066">
        <v>43.42</v>
      </c>
      <c r="U1045" s="3066">
        <v>1750</v>
      </c>
      <c r="V1045" s="3066" t="s">
        <v>3560</v>
      </c>
      <c r="W1045" s="3066" t="s">
        <v>3568</v>
      </c>
      <c r="X1045" s="3066">
        <v>2.1</v>
      </c>
      <c r="Y1045" s="3066">
        <v>1015.56</v>
      </c>
      <c r="Z1045" s="3066" t="s">
        <v>3568</v>
      </c>
      <c r="AA1045" s="3066" t="s">
        <v>3560</v>
      </c>
      <c r="AB1045" s="3066" t="s">
        <v>6710</v>
      </c>
      <c r="AC1045" s="3066" t="s">
        <v>6710</v>
      </c>
      <c r="AD1045" s="3066" t="s">
        <v>6710</v>
      </c>
      <c r="AE1045" s="3066" t="s">
        <v>3560</v>
      </c>
      <c r="AF1045" s="3067">
        <v>1750</v>
      </c>
      <c r="AG1045" s="3066">
        <v>1750</v>
      </c>
      <c r="AH1045" s="3066">
        <v>84.63</v>
      </c>
      <c r="AI1045" s="3066">
        <v>84.63</v>
      </c>
      <c r="AJ1045" s="3066">
        <v>181.19</v>
      </c>
      <c r="AK1045" s="3066">
        <v>181.19</v>
      </c>
      <c r="AL1045" s="3066">
        <v>2015.82</v>
      </c>
      <c r="AM1045" s="3066">
        <v>2015.82</v>
      </c>
      <c r="AN1045" s="3066" t="s">
        <v>3560</v>
      </c>
      <c r="AP1045" s="3068">
        <f t="shared" si="16"/>
        <v>43.424317617866009</v>
      </c>
    </row>
    <row r="1046" spans="2:42" ht="27" customHeight="1">
      <c r="B1046" s="3066">
        <v>1180</v>
      </c>
      <c r="C1046" s="3066" t="s">
        <v>3159</v>
      </c>
      <c r="D1046" s="3066" t="s">
        <v>4053</v>
      </c>
      <c r="E1046" s="3066" t="s">
        <v>6719</v>
      </c>
      <c r="F1046" s="3066" t="s">
        <v>3917</v>
      </c>
      <c r="G1046" s="3066" t="s">
        <v>3560</v>
      </c>
      <c r="H1046" s="3066" t="s">
        <v>3560</v>
      </c>
      <c r="I1046" s="3066" t="s">
        <v>6720</v>
      </c>
      <c r="J1046" s="3066" t="s">
        <v>6720</v>
      </c>
      <c r="K1046" s="3066" t="s">
        <v>3560</v>
      </c>
      <c r="L1046" s="3066" t="s">
        <v>6721</v>
      </c>
      <c r="M1046" s="3066" t="s">
        <v>6722</v>
      </c>
      <c r="N1046" s="3066">
        <v>40.299999999999997</v>
      </c>
      <c r="O1046" s="3066" t="s">
        <v>6723</v>
      </c>
      <c r="P1046" s="3066" t="s">
        <v>3566</v>
      </c>
      <c r="Q1046" s="3066">
        <v>0</v>
      </c>
      <c r="R1046" s="3066">
        <v>3500</v>
      </c>
      <c r="S1046" s="3066" t="s">
        <v>3567</v>
      </c>
      <c r="T1046" s="3066">
        <v>43.42</v>
      </c>
      <c r="U1046" s="3066">
        <v>1750</v>
      </c>
      <c r="V1046" s="3066" t="s">
        <v>3560</v>
      </c>
      <c r="W1046" s="3066" t="s">
        <v>3568</v>
      </c>
      <c r="X1046" s="3066">
        <v>2.1</v>
      </c>
      <c r="Y1046" s="3066">
        <v>1015.56</v>
      </c>
      <c r="Z1046" s="3066" t="s">
        <v>3568</v>
      </c>
      <c r="AA1046" s="3066" t="s">
        <v>3560</v>
      </c>
      <c r="AB1046" s="3066" t="s">
        <v>3900</v>
      </c>
      <c r="AC1046" s="3066" t="s">
        <v>3900</v>
      </c>
      <c r="AD1046" s="3066" t="s">
        <v>3900</v>
      </c>
      <c r="AE1046" s="3066" t="s">
        <v>3560</v>
      </c>
      <c r="AF1046" s="3067">
        <v>0</v>
      </c>
      <c r="AG1046" s="3066">
        <v>0</v>
      </c>
      <c r="AH1046" s="3066">
        <v>0</v>
      </c>
      <c r="AI1046" s="3066">
        <v>0</v>
      </c>
      <c r="AJ1046" s="3066">
        <v>0</v>
      </c>
      <c r="AK1046" s="3066">
        <v>0</v>
      </c>
      <c r="AL1046" s="3066">
        <v>0</v>
      </c>
      <c r="AM1046" s="3066">
        <v>0</v>
      </c>
      <c r="AN1046" s="3066" t="s">
        <v>3560</v>
      </c>
      <c r="AP1046" s="3068">
        <f t="shared" si="16"/>
        <v>0</v>
      </c>
    </row>
    <row r="1047" spans="2:42" ht="27" customHeight="1">
      <c r="B1047" s="3066">
        <v>1181</v>
      </c>
      <c r="C1047" s="3066" t="s">
        <v>3159</v>
      </c>
      <c r="D1047" s="3066" t="s">
        <v>4053</v>
      </c>
      <c r="E1047" s="3066" t="s">
        <v>6724</v>
      </c>
      <c r="F1047" s="3066" t="s">
        <v>3917</v>
      </c>
      <c r="G1047" s="3066" t="s">
        <v>3560</v>
      </c>
      <c r="H1047" s="3066" t="s">
        <v>3560</v>
      </c>
      <c r="I1047" s="3066" t="s">
        <v>6725</v>
      </c>
      <c r="J1047" s="3066" t="s">
        <v>6726</v>
      </c>
      <c r="K1047" s="3066" t="s">
        <v>3560</v>
      </c>
      <c r="L1047" s="3066" t="s">
        <v>6727</v>
      </c>
      <c r="M1047" s="3066" t="s">
        <v>6728</v>
      </c>
      <c r="N1047" s="3066">
        <v>40.299999999999997</v>
      </c>
      <c r="O1047" s="3066" t="s">
        <v>3785</v>
      </c>
      <c r="P1047" s="3066" t="s">
        <v>3566</v>
      </c>
      <c r="Q1047" s="3066">
        <v>1</v>
      </c>
      <c r="R1047" s="3066">
        <v>3500</v>
      </c>
      <c r="S1047" s="3066" t="s">
        <v>3567</v>
      </c>
      <c r="T1047" s="3066">
        <v>43.42</v>
      </c>
      <c r="U1047" s="3066">
        <v>1750</v>
      </c>
      <c r="V1047" s="3066" t="s">
        <v>3560</v>
      </c>
      <c r="W1047" s="3066" t="s">
        <v>3568</v>
      </c>
      <c r="X1047" s="3066">
        <v>2.1</v>
      </c>
      <c r="Y1047" s="3066">
        <v>1015.56</v>
      </c>
      <c r="Z1047" s="3066" t="s">
        <v>3568</v>
      </c>
      <c r="AA1047" s="3066" t="s">
        <v>3560</v>
      </c>
      <c r="AB1047" s="3066" t="s">
        <v>3591</v>
      </c>
      <c r="AC1047" s="3066" t="s">
        <v>3591</v>
      </c>
      <c r="AD1047" s="3066" t="s">
        <v>3591</v>
      </c>
      <c r="AE1047" s="3066" t="s">
        <v>3560</v>
      </c>
      <c r="AF1047" s="3067">
        <v>1750</v>
      </c>
      <c r="AG1047" s="3066">
        <v>1750</v>
      </c>
      <c r="AH1047" s="3066">
        <v>84.63</v>
      </c>
      <c r="AI1047" s="3066">
        <v>84.63</v>
      </c>
      <c r="AJ1047" s="3066">
        <v>208.66</v>
      </c>
      <c r="AK1047" s="3066">
        <v>208.66</v>
      </c>
      <c r="AL1047" s="3066">
        <v>2043.29</v>
      </c>
      <c r="AM1047" s="3066">
        <v>2043.29</v>
      </c>
      <c r="AN1047" s="3066" t="s">
        <v>3560</v>
      </c>
      <c r="AP1047" s="3068">
        <f t="shared" si="16"/>
        <v>43.424317617866009</v>
      </c>
    </row>
    <row r="1048" spans="2:42" ht="27" customHeight="1">
      <c r="B1048" s="3066">
        <v>1182</v>
      </c>
      <c r="C1048" s="3066" t="s">
        <v>3159</v>
      </c>
      <c r="D1048" s="3066" t="s">
        <v>4053</v>
      </c>
      <c r="E1048" s="3066" t="s">
        <v>6729</v>
      </c>
      <c r="F1048" s="3066" t="s">
        <v>3917</v>
      </c>
      <c r="G1048" s="3066" t="s">
        <v>3560</v>
      </c>
      <c r="H1048" s="3066" t="s">
        <v>3560</v>
      </c>
      <c r="I1048" s="3066" t="s">
        <v>6730</v>
      </c>
      <c r="J1048" s="3066" t="s">
        <v>6730</v>
      </c>
      <c r="K1048" s="3066" t="s">
        <v>3560</v>
      </c>
      <c r="L1048" s="3066" t="s">
        <v>6731</v>
      </c>
      <c r="M1048" s="3066" t="s">
        <v>6732</v>
      </c>
      <c r="N1048" s="3066">
        <v>40.299999999999997</v>
      </c>
      <c r="O1048" s="3066" t="s">
        <v>4220</v>
      </c>
      <c r="P1048" s="3066" t="s">
        <v>3566</v>
      </c>
      <c r="Q1048" s="3066">
        <v>0</v>
      </c>
      <c r="R1048" s="3066">
        <v>3500</v>
      </c>
      <c r="S1048" s="3066" t="s">
        <v>3567</v>
      </c>
      <c r="T1048" s="3066">
        <v>43.42</v>
      </c>
      <c r="U1048" s="3066">
        <v>1750</v>
      </c>
      <c r="V1048" s="3066" t="s">
        <v>3560</v>
      </c>
      <c r="W1048" s="3066" t="s">
        <v>3568</v>
      </c>
      <c r="X1048" s="3066">
        <v>2.1</v>
      </c>
      <c r="Y1048" s="3066">
        <v>1015.56</v>
      </c>
      <c r="Z1048" s="3066" t="s">
        <v>3568</v>
      </c>
      <c r="AA1048" s="3066" t="s">
        <v>3560</v>
      </c>
      <c r="AB1048" s="3066" t="s">
        <v>3943</v>
      </c>
      <c r="AC1048" s="3066" t="s">
        <v>3943</v>
      </c>
      <c r="AD1048" s="3066" t="s">
        <v>3943</v>
      </c>
      <c r="AE1048" s="3066" t="s">
        <v>3560</v>
      </c>
      <c r="AF1048" s="3067">
        <v>0</v>
      </c>
      <c r="AG1048" s="3066">
        <v>0</v>
      </c>
      <c r="AH1048" s="3066">
        <v>0</v>
      </c>
      <c r="AI1048" s="3066">
        <v>0</v>
      </c>
      <c r="AJ1048" s="3066">
        <v>0</v>
      </c>
      <c r="AK1048" s="3066">
        <v>0</v>
      </c>
      <c r="AL1048" s="3066">
        <v>0</v>
      </c>
      <c r="AM1048" s="3066">
        <v>0</v>
      </c>
      <c r="AN1048" s="3066" t="s">
        <v>3560</v>
      </c>
      <c r="AP1048" s="3068">
        <f t="shared" si="16"/>
        <v>0</v>
      </c>
    </row>
    <row r="1049" spans="2:42" ht="27" customHeight="1">
      <c r="B1049" s="3066">
        <v>1183</v>
      </c>
      <c r="C1049" s="3066" t="s">
        <v>3159</v>
      </c>
      <c r="D1049" s="3066" t="s">
        <v>4053</v>
      </c>
      <c r="E1049" s="3066" t="s">
        <v>6733</v>
      </c>
      <c r="F1049" s="3066" t="s">
        <v>3917</v>
      </c>
      <c r="G1049" s="3066" t="s">
        <v>3560</v>
      </c>
      <c r="H1049" s="3066" t="s">
        <v>3560</v>
      </c>
      <c r="I1049" s="3066" t="s">
        <v>6734</v>
      </c>
      <c r="J1049" s="3066" t="s">
        <v>6734</v>
      </c>
      <c r="K1049" s="3066" t="s">
        <v>3560</v>
      </c>
      <c r="L1049" s="3066" t="s">
        <v>6735</v>
      </c>
      <c r="M1049" s="3066" t="s">
        <v>6736</v>
      </c>
      <c r="N1049" s="3066">
        <v>40.299999999999997</v>
      </c>
      <c r="O1049" s="3066" t="s">
        <v>6737</v>
      </c>
      <c r="P1049" s="3066" t="s">
        <v>3566</v>
      </c>
      <c r="Q1049" s="3066">
        <v>0</v>
      </c>
      <c r="R1049" s="3066">
        <v>3500.74</v>
      </c>
      <c r="S1049" s="3066" t="s">
        <v>3567</v>
      </c>
      <c r="T1049" s="3066">
        <v>43.42</v>
      </c>
      <c r="U1049" s="3066">
        <v>1750</v>
      </c>
      <c r="V1049" s="3066" t="s">
        <v>3560</v>
      </c>
      <c r="W1049" s="3066" t="s">
        <v>3568</v>
      </c>
      <c r="X1049" s="3066">
        <v>2.1</v>
      </c>
      <c r="Y1049" s="3066">
        <v>1015.56</v>
      </c>
      <c r="Z1049" s="3066" t="s">
        <v>3568</v>
      </c>
      <c r="AA1049" s="3066" t="s">
        <v>3560</v>
      </c>
      <c r="AB1049" s="3066" t="s">
        <v>6738</v>
      </c>
      <c r="AC1049" s="3066" t="s">
        <v>6738</v>
      </c>
      <c r="AD1049" s="3066" t="s">
        <v>6738</v>
      </c>
      <c r="AE1049" s="3066" t="s">
        <v>3560</v>
      </c>
      <c r="AF1049" s="3067">
        <v>1750</v>
      </c>
      <c r="AG1049" s="3066">
        <v>1750</v>
      </c>
      <c r="AH1049" s="3066">
        <v>84.63</v>
      </c>
      <c r="AI1049" s="3066">
        <v>84.63</v>
      </c>
      <c r="AJ1049" s="3066">
        <v>99.2</v>
      </c>
      <c r="AK1049" s="3066">
        <v>99.2</v>
      </c>
      <c r="AL1049" s="3066">
        <v>1933.83</v>
      </c>
      <c r="AM1049" s="3066">
        <v>1933.83</v>
      </c>
      <c r="AN1049" s="3066" t="s">
        <v>3560</v>
      </c>
      <c r="AP1049" s="3068">
        <f t="shared" si="16"/>
        <v>43.424317617866009</v>
      </c>
    </row>
    <row r="1050" spans="2:42" ht="27" customHeight="1">
      <c r="B1050" s="3066">
        <v>1184</v>
      </c>
      <c r="C1050" s="3066" t="s">
        <v>3159</v>
      </c>
      <c r="D1050" s="3066" t="s">
        <v>4053</v>
      </c>
      <c r="E1050" s="3066" t="s">
        <v>6733</v>
      </c>
      <c r="F1050" s="3066" t="s">
        <v>3917</v>
      </c>
      <c r="G1050" s="3066" t="s">
        <v>3560</v>
      </c>
      <c r="H1050" s="3066" t="s">
        <v>3560</v>
      </c>
      <c r="I1050" s="3066" t="s">
        <v>6734</v>
      </c>
      <c r="J1050" s="3066" t="s">
        <v>6734</v>
      </c>
      <c r="K1050" s="3066" t="s">
        <v>3560</v>
      </c>
      <c r="L1050" s="3066" t="s">
        <v>6735</v>
      </c>
      <c r="M1050" s="3066" t="s">
        <v>6736</v>
      </c>
      <c r="N1050" s="3066">
        <v>40.299999999999997</v>
      </c>
      <c r="O1050" s="3066" t="s">
        <v>4867</v>
      </c>
      <c r="P1050" s="3066" t="s">
        <v>4096</v>
      </c>
      <c r="Q1050" s="3066">
        <v>0</v>
      </c>
      <c r="R1050" s="3066">
        <v>3500.74</v>
      </c>
      <c r="S1050" s="3066" t="s">
        <v>3567</v>
      </c>
      <c r="T1050" s="3066">
        <v>43.42</v>
      </c>
      <c r="U1050" s="3066">
        <v>1750</v>
      </c>
      <c r="V1050" s="3066" t="s">
        <v>3560</v>
      </c>
      <c r="W1050" s="3066" t="s">
        <v>3568</v>
      </c>
      <c r="X1050" s="3066">
        <v>2.1</v>
      </c>
      <c r="Y1050" s="3066">
        <v>1015.56</v>
      </c>
      <c r="Z1050" s="3066" t="s">
        <v>3568</v>
      </c>
      <c r="AA1050" s="3066" t="s">
        <v>3560</v>
      </c>
      <c r="AB1050" s="3066" t="s">
        <v>4868</v>
      </c>
      <c r="AC1050" s="3066" t="s">
        <v>4868</v>
      </c>
      <c r="AD1050" s="3066" t="s">
        <v>4868</v>
      </c>
      <c r="AE1050" s="3066" t="s">
        <v>3560</v>
      </c>
      <c r="AF1050" s="3067">
        <v>1750</v>
      </c>
      <c r="AG1050" s="3066">
        <v>1750</v>
      </c>
      <c r="AH1050" s="3066">
        <v>84.63</v>
      </c>
      <c r="AI1050" s="3066">
        <v>84.63</v>
      </c>
      <c r="AJ1050" s="3066">
        <v>99.2</v>
      </c>
      <c r="AK1050" s="3066">
        <v>99.2</v>
      </c>
      <c r="AL1050" s="3066">
        <v>1933.83</v>
      </c>
      <c r="AM1050" s="3066">
        <v>1933.83</v>
      </c>
      <c r="AN1050" s="3066" t="s">
        <v>3560</v>
      </c>
      <c r="AP1050" s="3068">
        <f t="shared" si="16"/>
        <v>43.424317617866009</v>
      </c>
    </row>
    <row r="1051" spans="2:42" ht="27" customHeight="1">
      <c r="B1051" s="3066">
        <v>1185</v>
      </c>
      <c r="C1051" s="3066" t="s">
        <v>3159</v>
      </c>
      <c r="D1051" s="3066" t="s">
        <v>4053</v>
      </c>
      <c r="E1051" s="3066" t="s">
        <v>6739</v>
      </c>
      <c r="F1051" s="3066" t="s">
        <v>3917</v>
      </c>
      <c r="G1051" s="3066" t="s">
        <v>3560</v>
      </c>
      <c r="H1051" s="3066" t="s">
        <v>3560</v>
      </c>
      <c r="I1051" s="3066" t="s">
        <v>4880</v>
      </c>
      <c r="J1051" s="3066" t="s">
        <v>4881</v>
      </c>
      <c r="K1051" s="3066" t="s">
        <v>3560</v>
      </c>
      <c r="L1051" s="3066" t="s">
        <v>4882</v>
      </c>
      <c r="M1051" s="3066" t="s">
        <v>6740</v>
      </c>
      <c r="N1051" s="3066">
        <v>40.299999999999997</v>
      </c>
      <c r="O1051" s="3066" t="s">
        <v>6709</v>
      </c>
      <c r="P1051" s="3066" t="s">
        <v>3566</v>
      </c>
      <c r="Q1051" s="3066">
        <v>1</v>
      </c>
      <c r="R1051" s="3066">
        <v>0</v>
      </c>
      <c r="S1051" s="3066" t="s">
        <v>3577</v>
      </c>
      <c r="T1051" s="3066">
        <v>43.42</v>
      </c>
      <c r="U1051" s="3066">
        <v>1750</v>
      </c>
      <c r="V1051" s="3066" t="s">
        <v>3560</v>
      </c>
      <c r="W1051" s="3066" t="s">
        <v>3568</v>
      </c>
      <c r="X1051" s="3066">
        <v>2.1</v>
      </c>
      <c r="Y1051" s="3066">
        <v>1015.56</v>
      </c>
      <c r="Z1051" s="3066" t="s">
        <v>3568</v>
      </c>
      <c r="AA1051" s="3066" t="s">
        <v>3560</v>
      </c>
      <c r="AB1051" s="3066" t="s">
        <v>6710</v>
      </c>
      <c r="AC1051" s="3066" t="s">
        <v>6710</v>
      </c>
      <c r="AD1051" s="3066" t="s">
        <v>6710</v>
      </c>
      <c r="AE1051" s="3066" t="s">
        <v>3560</v>
      </c>
      <c r="AF1051" s="3067">
        <v>1750</v>
      </c>
      <c r="AG1051" s="3066">
        <v>1750</v>
      </c>
      <c r="AH1051" s="3066">
        <v>84.63</v>
      </c>
      <c r="AI1051" s="3066">
        <v>84.63</v>
      </c>
      <c r="AJ1051" s="3066">
        <v>139.72999999999999</v>
      </c>
      <c r="AK1051" s="3066">
        <v>139.72999999999999</v>
      </c>
      <c r="AL1051" s="3066">
        <v>1974.36</v>
      </c>
      <c r="AM1051" s="3066">
        <v>1974.36</v>
      </c>
      <c r="AN1051" s="3066" t="s">
        <v>3560</v>
      </c>
      <c r="AP1051" s="3068">
        <f t="shared" si="16"/>
        <v>43.424317617866009</v>
      </c>
    </row>
    <row r="1052" spans="2:42" ht="27" customHeight="1">
      <c r="B1052" s="3066">
        <v>1186</v>
      </c>
      <c r="C1052" s="3066" t="s">
        <v>3159</v>
      </c>
      <c r="D1052" s="3066" t="s">
        <v>4053</v>
      </c>
      <c r="E1052" s="3066" t="s">
        <v>6741</v>
      </c>
      <c r="F1052" s="3066" t="s">
        <v>3917</v>
      </c>
      <c r="G1052" s="3066" t="s">
        <v>3560</v>
      </c>
      <c r="H1052" s="3066" t="s">
        <v>3560</v>
      </c>
      <c r="I1052" s="3066" t="s">
        <v>4880</v>
      </c>
      <c r="J1052" s="3066" t="s">
        <v>4881</v>
      </c>
      <c r="K1052" s="3066" t="s">
        <v>3560</v>
      </c>
      <c r="L1052" s="3066" t="s">
        <v>4882</v>
      </c>
      <c r="M1052" s="3066" t="s">
        <v>6742</v>
      </c>
      <c r="N1052" s="3066">
        <v>40.299999999999997</v>
      </c>
      <c r="O1052" s="3066" t="s">
        <v>3608</v>
      </c>
      <c r="P1052" s="3066" t="s">
        <v>3566</v>
      </c>
      <c r="Q1052" s="3066">
        <v>1</v>
      </c>
      <c r="R1052" s="3066">
        <v>3600</v>
      </c>
      <c r="S1052" s="3066" t="s">
        <v>3567</v>
      </c>
      <c r="T1052" s="3066">
        <v>44.67</v>
      </c>
      <c r="U1052" s="3066">
        <v>1800</v>
      </c>
      <c r="V1052" s="3066" t="s">
        <v>3560</v>
      </c>
      <c r="W1052" s="3066" t="s">
        <v>3568</v>
      </c>
      <c r="X1052" s="3066">
        <v>2.1</v>
      </c>
      <c r="Y1052" s="3066">
        <v>1015.56</v>
      </c>
      <c r="Z1052" s="3066" t="s">
        <v>3568</v>
      </c>
      <c r="AA1052" s="3066" t="s">
        <v>3560</v>
      </c>
      <c r="AB1052" s="3066" t="s">
        <v>3609</v>
      </c>
      <c r="AC1052" s="3066" t="s">
        <v>3609</v>
      </c>
      <c r="AD1052" s="3066" t="s">
        <v>3609</v>
      </c>
      <c r="AE1052" s="3066" t="s">
        <v>3560</v>
      </c>
      <c r="AF1052" s="3067">
        <v>1800</v>
      </c>
      <c r="AG1052" s="3066">
        <v>1800</v>
      </c>
      <c r="AH1052" s="3066">
        <v>84.63</v>
      </c>
      <c r="AI1052" s="3066">
        <v>84.63</v>
      </c>
      <c r="AJ1052" s="3066">
        <v>97.86</v>
      </c>
      <c r="AK1052" s="3066">
        <v>97.86</v>
      </c>
      <c r="AL1052" s="3066">
        <v>1982.49</v>
      </c>
      <c r="AM1052" s="3066">
        <v>1982.49</v>
      </c>
      <c r="AN1052" s="3066" t="s">
        <v>3560</v>
      </c>
      <c r="AP1052" s="3068">
        <f t="shared" si="16"/>
        <v>44.665012406947895</v>
      </c>
    </row>
    <row r="1053" spans="2:42" ht="27" customHeight="1">
      <c r="B1053" s="3066">
        <v>1187</v>
      </c>
      <c r="C1053" s="3066" t="s">
        <v>3159</v>
      </c>
      <c r="D1053" s="3066" t="s">
        <v>4053</v>
      </c>
      <c r="E1053" s="3066" t="s">
        <v>6743</v>
      </c>
      <c r="F1053" s="3066" t="s">
        <v>3917</v>
      </c>
      <c r="G1053" s="3066" t="s">
        <v>3560</v>
      </c>
      <c r="H1053" s="3066" t="s">
        <v>3560</v>
      </c>
      <c r="I1053" s="3066" t="s">
        <v>3560</v>
      </c>
      <c r="J1053" s="3066" t="s">
        <v>3560</v>
      </c>
      <c r="K1053" s="3066" t="s">
        <v>3560</v>
      </c>
      <c r="L1053" s="3066" t="s">
        <v>3560</v>
      </c>
      <c r="M1053" s="3066" t="s">
        <v>6744</v>
      </c>
      <c r="N1053" s="3066">
        <v>46.3</v>
      </c>
      <c r="O1053" s="3066" t="s">
        <v>3560</v>
      </c>
      <c r="P1053" s="3066" t="s">
        <v>3560</v>
      </c>
      <c r="Q1053" s="3066">
        <v>0</v>
      </c>
      <c r="R1053" s="3066">
        <v>0</v>
      </c>
      <c r="S1053" s="3066" t="s">
        <v>3577</v>
      </c>
      <c r="T1053" s="3066">
        <v>0</v>
      </c>
      <c r="U1053" s="3066">
        <v>0</v>
      </c>
      <c r="V1053" s="3066" t="s">
        <v>3560</v>
      </c>
      <c r="W1053" s="3066" t="s">
        <v>3568</v>
      </c>
      <c r="X1053" s="3066">
        <v>0</v>
      </c>
      <c r="Y1053" s="3066">
        <v>0</v>
      </c>
      <c r="Z1053" s="3066" t="s">
        <v>3568</v>
      </c>
      <c r="AA1053" s="3066" t="s">
        <v>3560</v>
      </c>
      <c r="AB1053" s="3066" t="s">
        <v>3560</v>
      </c>
      <c r="AC1053" s="3066" t="s">
        <v>3560</v>
      </c>
      <c r="AD1053" s="3066" t="s">
        <v>3560</v>
      </c>
      <c r="AE1053" s="3066" t="s">
        <v>3560</v>
      </c>
      <c r="AF1053" s="3067">
        <v>0</v>
      </c>
      <c r="AG1053" s="3066">
        <v>0</v>
      </c>
      <c r="AH1053" s="3066">
        <v>0</v>
      </c>
      <c r="AI1053" s="3066">
        <v>0</v>
      </c>
      <c r="AJ1053" s="3066">
        <v>0</v>
      </c>
      <c r="AK1053" s="3066">
        <v>0</v>
      </c>
      <c r="AL1053" s="3066">
        <v>0</v>
      </c>
      <c r="AM1053" s="3066">
        <v>0</v>
      </c>
      <c r="AN1053" s="3066" t="s">
        <v>3560</v>
      </c>
      <c r="AP1053" s="3068">
        <f t="shared" si="16"/>
        <v>0</v>
      </c>
    </row>
    <row r="1054" spans="2:42" ht="27" customHeight="1">
      <c r="B1054" s="3066">
        <v>1188</v>
      </c>
      <c r="C1054" s="3066" t="s">
        <v>3159</v>
      </c>
      <c r="D1054" s="3066" t="s">
        <v>3901</v>
      </c>
      <c r="E1054" s="3066" t="s">
        <v>6745</v>
      </c>
      <c r="F1054" s="3066" t="s">
        <v>3917</v>
      </c>
      <c r="G1054" s="3066" t="s">
        <v>3560</v>
      </c>
      <c r="H1054" s="3066" t="s">
        <v>3560</v>
      </c>
      <c r="I1054" s="3066" t="s">
        <v>6746</v>
      </c>
      <c r="J1054" s="3066" t="s">
        <v>6747</v>
      </c>
      <c r="K1054" s="3066" t="s">
        <v>3560</v>
      </c>
      <c r="L1054" s="3066" t="s">
        <v>6748</v>
      </c>
      <c r="M1054" s="3066" t="s">
        <v>6749</v>
      </c>
      <c r="N1054" s="3066">
        <v>40.299999999999997</v>
      </c>
      <c r="O1054" s="3066" t="s">
        <v>5034</v>
      </c>
      <c r="P1054" s="3066" t="s">
        <v>3566</v>
      </c>
      <c r="Q1054" s="3066">
        <v>1</v>
      </c>
      <c r="R1054" s="3066">
        <v>6200</v>
      </c>
      <c r="S1054" s="3066" t="s">
        <v>3567</v>
      </c>
      <c r="T1054" s="3066">
        <v>38.46</v>
      </c>
      <c r="U1054" s="3066">
        <v>1550</v>
      </c>
      <c r="V1054" s="3066" t="s">
        <v>3560</v>
      </c>
      <c r="W1054" s="3066" t="s">
        <v>3568</v>
      </c>
      <c r="X1054" s="3066">
        <v>2.1</v>
      </c>
      <c r="Y1054" s="3066">
        <v>1015.56</v>
      </c>
      <c r="Z1054" s="3066" t="s">
        <v>3568</v>
      </c>
      <c r="AA1054" s="3066" t="s">
        <v>3560</v>
      </c>
      <c r="AB1054" s="3066" t="s">
        <v>5035</v>
      </c>
      <c r="AC1054" s="3066" t="s">
        <v>5035</v>
      </c>
      <c r="AD1054" s="3066" t="s">
        <v>5035</v>
      </c>
      <c r="AE1054" s="3066" t="s">
        <v>3560</v>
      </c>
      <c r="AF1054" s="3067">
        <v>1550</v>
      </c>
      <c r="AG1054" s="3066">
        <v>1550</v>
      </c>
      <c r="AH1054" s="3066">
        <v>84.63</v>
      </c>
      <c r="AI1054" s="3066">
        <v>0</v>
      </c>
      <c r="AJ1054" s="3066">
        <v>328.64</v>
      </c>
      <c r="AK1054" s="3066">
        <v>328.64</v>
      </c>
      <c r="AL1054" s="3066">
        <v>1963.27</v>
      </c>
      <c r="AM1054" s="3066">
        <v>1878.64</v>
      </c>
      <c r="AN1054" s="3066" t="s">
        <v>3560</v>
      </c>
      <c r="AP1054" s="3068">
        <f t="shared" si="16"/>
        <v>38.461538461538467</v>
      </c>
    </row>
    <row r="1055" spans="2:42" ht="27" customHeight="1">
      <c r="B1055" s="3066">
        <v>1189</v>
      </c>
      <c r="C1055" s="3066" t="s">
        <v>3159</v>
      </c>
      <c r="D1055" s="3066" t="s">
        <v>3901</v>
      </c>
      <c r="E1055" s="3066" t="s">
        <v>6750</v>
      </c>
      <c r="F1055" s="3066" t="s">
        <v>3917</v>
      </c>
      <c r="G1055" s="3066" t="s">
        <v>3560</v>
      </c>
      <c r="H1055" s="3066" t="s">
        <v>3560</v>
      </c>
      <c r="I1055" s="3066" t="s">
        <v>6751</v>
      </c>
      <c r="J1055" s="3066" t="s">
        <v>3560</v>
      </c>
      <c r="K1055" s="3066" t="s">
        <v>3560</v>
      </c>
      <c r="L1055" s="3066" t="s">
        <v>6752</v>
      </c>
      <c r="M1055" s="3066" t="s">
        <v>6753</v>
      </c>
      <c r="N1055" s="3066">
        <v>40.299999999999997</v>
      </c>
      <c r="O1055" s="3066" t="s">
        <v>6754</v>
      </c>
      <c r="P1055" s="3066" t="s">
        <v>3566</v>
      </c>
      <c r="Q1055" s="3066">
        <v>0</v>
      </c>
      <c r="R1055" s="3066">
        <v>3100</v>
      </c>
      <c r="S1055" s="3066" t="s">
        <v>3567</v>
      </c>
      <c r="T1055" s="3066">
        <v>38.46</v>
      </c>
      <c r="U1055" s="3066">
        <v>1550</v>
      </c>
      <c r="V1055" s="3066" t="s">
        <v>3560</v>
      </c>
      <c r="W1055" s="3066" t="s">
        <v>3568</v>
      </c>
      <c r="X1055" s="3066">
        <v>2.1</v>
      </c>
      <c r="Y1055" s="3066">
        <v>1015.56</v>
      </c>
      <c r="Z1055" s="3066" t="s">
        <v>3568</v>
      </c>
      <c r="AA1055" s="3066" t="s">
        <v>3560</v>
      </c>
      <c r="AB1055" s="3066" t="s">
        <v>3993</v>
      </c>
      <c r="AC1055" s="3066" t="s">
        <v>3993</v>
      </c>
      <c r="AD1055" s="3066" t="s">
        <v>3993</v>
      </c>
      <c r="AE1055" s="3066" t="s">
        <v>3560</v>
      </c>
      <c r="AF1055" s="3067">
        <v>1550</v>
      </c>
      <c r="AG1055" s="3066">
        <v>1550</v>
      </c>
      <c r="AH1055" s="3066">
        <v>84.63</v>
      </c>
      <c r="AI1055" s="3066">
        <v>84.63</v>
      </c>
      <c r="AJ1055" s="3066">
        <v>198.39</v>
      </c>
      <c r="AK1055" s="3066">
        <v>198.39</v>
      </c>
      <c r="AL1055" s="3066">
        <v>1833.02</v>
      </c>
      <c r="AM1055" s="3066">
        <v>1833.02</v>
      </c>
      <c r="AN1055" s="3066" t="s">
        <v>3560</v>
      </c>
      <c r="AP1055" s="3068">
        <f t="shared" si="16"/>
        <v>38.461538461538467</v>
      </c>
    </row>
    <row r="1056" spans="2:42" ht="27" customHeight="1">
      <c r="B1056" s="3066">
        <v>1190</v>
      </c>
      <c r="C1056" s="3066" t="s">
        <v>3159</v>
      </c>
      <c r="D1056" s="3066" t="s">
        <v>3901</v>
      </c>
      <c r="E1056" s="3066" t="s">
        <v>6755</v>
      </c>
      <c r="F1056" s="3066" t="s">
        <v>3917</v>
      </c>
      <c r="G1056" s="3066" t="s">
        <v>3560</v>
      </c>
      <c r="H1056" s="3066" t="s">
        <v>3560</v>
      </c>
      <c r="I1056" s="3066" t="s">
        <v>6756</v>
      </c>
      <c r="J1056" s="3066" t="s">
        <v>6756</v>
      </c>
      <c r="K1056" s="3066" t="s">
        <v>3560</v>
      </c>
      <c r="L1056" s="3066" t="s">
        <v>6757</v>
      </c>
      <c r="M1056" s="3066" t="s">
        <v>6758</v>
      </c>
      <c r="N1056" s="3066">
        <v>40.299999999999997</v>
      </c>
      <c r="O1056" s="3066" t="s">
        <v>6759</v>
      </c>
      <c r="P1056" s="3066" t="s">
        <v>3566</v>
      </c>
      <c r="Q1056" s="3066">
        <v>0</v>
      </c>
      <c r="R1056" s="3066">
        <v>3100</v>
      </c>
      <c r="S1056" s="3066" t="s">
        <v>3567</v>
      </c>
      <c r="T1056" s="3066">
        <v>38.46</v>
      </c>
      <c r="U1056" s="3066">
        <v>1550</v>
      </c>
      <c r="V1056" s="3066" t="s">
        <v>3560</v>
      </c>
      <c r="W1056" s="3066" t="s">
        <v>3568</v>
      </c>
      <c r="X1056" s="3066">
        <v>2.1</v>
      </c>
      <c r="Y1056" s="3066">
        <v>1015.56</v>
      </c>
      <c r="Z1056" s="3066" t="s">
        <v>3568</v>
      </c>
      <c r="AA1056" s="3066" t="s">
        <v>3560</v>
      </c>
      <c r="AB1056" s="3066" t="s">
        <v>6760</v>
      </c>
      <c r="AC1056" s="3066" t="s">
        <v>6760</v>
      </c>
      <c r="AD1056" s="3066" t="s">
        <v>6760</v>
      </c>
      <c r="AE1056" s="3066" t="s">
        <v>3560</v>
      </c>
      <c r="AF1056" s="3067">
        <v>0</v>
      </c>
      <c r="AG1056" s="3066">
        <v>0</v>
      </c>
      <c r="AH1056" s="3066">
        <v>0</v>
      </c>
      <c r="AI1056" s="3066">
        <v>0</v>
      </c>
      <c r="AJ1056" s="3066">
        <v>0</v>
      </c>
      <c r="AK1056" s="3066">
        <v>0</v>
      </c>
      <c r="AL1056" s="3066">
        <v>0</v>
      </c>
      <c r="AM1056" s="3066">
        <v>0</v>
      </c>
      <c r="AN1056" s="3066" t="s">
        <v>3560</v>
      </c>
      <c r="AP1056" s="3068">
        <f t="shared" si="16"/>
        <v>0</v>
      </c>
    </row>
    <row r="1057" spans="2:42" ht="27" customHeight="1">
      <c r="B1057" s="3066">
        <v>1191</v>
      </c>
      <c r="C1057" s="3066" t="s">
        <v>3159</v>
      </c>
      <c r="D1057" s="3066" t="s">
        <v>3901</v>
      </c>
      <c r="E1057" s="3066" t="s">
        <v>6761</v>
      </c>
      <c r="F1057" s="3066" t="s">
        <v>3917</v>
      </c>
      <c r="G1057" s="3066" t="s">
        <v>3560</v>
      </c>
      <c r="H1057" s="3066" t="s">
        <v>3560</v>
      </c>
      <c r="I1057" s="3066" t="s">
        <v>3560</v>
      </c>
      <c r="J1057" s="3066" t="s">
        <v>3560</v>
      </c>
      <c r="K1057" s="3066" t="s">
        <v>3560</v>
      </c>
      <c r="L1057" s="3066" t="s">
        <v>3560</v>
      </c>
      <c r="M1057" s="3066" t="s">
        <v>6762</v>
      </c>
      <c r="N1057" s="3066">
        <v>40.299999999999997</v>
      </c>
      <c r="O1057" s="3066" t="s">
        <v>3560</v>
      </c>
      <c r="P1057" s="3066" t="s">
        <v>3560</v>
      </c>
      <c r="Q1057" s="3066">
        <v>0</v>
      </c>
      <c r="R1057" s="3066">
        <v>0</v>
      </c>
      <c r="S1057" s="3066" t="s">
        <v>3577</v>
      </c>
      <c r="T1057" s="3066">
        <v>0</v>
      </c>
      <c r="U1057" s="3066">
        <v>0</v>
      </c>
      <c r="V1057" s="3066" t="s">
        <v>3560</v>
      </c>
      <c r="W1057" s="3066" t="s">
        <v>3568</v>
      </c>
      <c r="X1057" s="3066">
        <v>0</v>
      </c>
      <c r="Y1057" s="3066">
        <v>0</v>
      </c>
      <c r="Z1057" s="3066" t="s">
        <v>3568</v>
      </c>
      <c r="AA1057" s="3066" t="s">
        <v>3560</v>
      </c>
      <c r="AB1057" s="3066" t="s">
        <v>3560</v>
      </c>
      <c r="AC1057" s="3066" t="s">
        <v>3560</v>
      </c>
      <c r="AD1057" s="3066" t="s">
        <v>3560</v>
      </c>
      <c r="AE1057" s="3066" t="s">
        <v>3560</v>
      </c>
      <c r="AF1057" s="3067">
        <v>0</v>
      </c>
      <c r="AG1057" s="3066">
        <v>0</v>
      </c>
      <c r="AH1057" s="3066">
        <v>0</v>
      </c>
      <c r="AI1057" s="3066">
        <v>0</v>
      </c>
      <c r="AJ1057" s="3066">
        <v>0</v>
      </c>
      <c r="AK1057" s="3066">
        <v>0</v>
      </c>
      <c r="AL1057" s="3066">
        <v>0</v>
      </c>
      <c r="AM1057" s="3066">
        <v>0</v>
      </c>
      <c r="AN1057" s="3066" t="s">
        <v>3560</v>
      </c>
      <c r="AP1057" s="3068">
        <f t="shared" si="16"/>
        <v>0</v>
      </c>
    </row>
    <row r="1058" spans="2:42" ht="27" customHeight="1">
      <c r="B1058" s="3066">
        <v>1192</v>
      </c>
      <c r="C1058" s="3066" t="s">
        <v>3159</v>
      </c>
      <c r="D1058" s="3066" t="s">
        <v>3901</v>
      </c>
      <c r="E1058" s="3066" t="s">
        <v>6763</v>
      </c>
      <c r="F1058" s="3066" t="s">
        <v>3917</v>
      </c>
      <c r="G1058" s="3066" t="s">
        <v>3560</v>
      </c>
      <c r="H1058" s="3066" t="s">
        <v>3560</v>
      </c>
      <c r="I1058" s="3066" t="s">
        <v>6764</v>
      </c>
      <c r="J1058" s="3066" t="s">
        <v>6764</v>
      </c>
      <c r="K1058" s="3066" t="s">
        <v>3560</v>
      </c>
      <c r="L1058" s="3066" t="s">
        <v>6765</v>
      </c>
      <c r="M1058" s="3066" t="s">
        <v>6766</v>
      </c>
      <c r="N1058" s="3066">
        <v>40.299999999999997</v>
      </c>
      <c r="O1058" s="3066" t="s">
        <v>6767</v>
      </c>
      <c r="P1058" s="3066" t="s">
        <v>3566</v>
      </c>
      <c r="Q1058" s="3066">
        <v>0</v>
      </c>
      <c r="R1058" s="3066">
        <v>3100</v>
      </c>
      <c r="S1058" s="3066" t="s">
        <v>3567</v>
      </c>
      <c r="T1058" s="3066">
        <v>38.46</v>
      </c>
      <c r="U1058" s="3066">
        <v>1550</v>
      </c>
      <c r="V1058" s="3066" t="s">
        <v>3560</v>
      </c>
      <c r="W1058" s="3066" t="s">
        <v>3568</v>
      </c>
      <c r="X1058" s="3066">
        <v>2.1</v>
      </c>
      <c r="Y1058" s="3066">
        <v>1015.56</v>
      </c>
      <c r="Z1058" s="3066" t="s">
        <v>3568</v>
      </c>
      <c r="AA1058" s="3066" t="s">
        <v>3560</v>
      </c>
      <c r="AB1058" s="3066" t="s">
        <v>6768</v>
      </c>
      <c r="AC1058" s="3066" t="s">
        <v>6768</v>
      </c>
      <c r="AD1058" s="3066" t="s">
        <v>6768</v>
      </c>
      <c r="AE1058" s="3066" t="s">
        <v>3560</v>
      </c>
      <c r="AF1058" s="3067">
        <v>1508.34</v>
      </c>
      <c r="AG1058" s="3066">
        <v>1508.34</v>
      </c>
      <c r="AH1058" s="3066">
        <v>0</v>
      </c>
      <c r="AI1058" s="3066">
        <v>0</v>
      </c>
      <c r="AJ1058" s="3066">
        <v>169.06</v>
      </c>
      <c r="AK1058" s="3066">
        <v>169.06</v>
      </c>
      <c r="AL1058" s="3066">
        <v>1677.4</v>
      </c>
      <c r="AM1058" s="3066">
        <v>1677.4</v>
      </c>
      <c r="AN1058" s="3066" t="s">
        <v>3560</v>
      </c>
      <c r="AP1058" s="3068">
        <f t="shared" si="16"/>
        <v>37.427791563275434</v>
      </c>
    </row>
    <row r="1059" spans="2:42" ht="27" customHeight="1">
      <c r="B1059" s="3066">
        <v>1193</v>
      </c>
      <c r="C1059" s="3066" t="s">
        <v>3159</v>
      </c>
      <c r="D1059" s="3066" t="s">
        <v>3901</v>
      </c>
      <c r="E1059" s="3066" t="s">
        <v>6769</v>
      </c>
      <c r="F1059" s="3066" t="s">
        <v>3917</v>
      </c>
      <c r="G1059" s="3066" t="s">
        <v>3560</v>
      </c>
      <c r="H1059" s="3066" t="s">
        <v>3560</v>
      </c>
      <c r="I1059" s="3066" t="s">
        <v>6746</v>
      </c>
      <c r="J1059" s="3066" t="s">
        <v>6747</v>
      </c>
      <c r="K1059" s="3066" t="s">
        <v>3560</v>
      </c>
      <c r="L1059" s="3066" t="s">
        <v>6748</v>
      </c>
      <c r="M1059" s="3066" t="s">
        <v>6770</v>
      </c>
      <c r="N1059" s="3066">
        <v>40.299999999999997</v>
      </c>
      <c r="O1059" s="3066" t="s">
        <v>6771</v>
      </c>
      <c r="P1059" s="3066" t="s">
        <v>3566</v>
      </c>
      <c r="Q1059" s="3066">
        <v>0</v>
      </c>
      <c r="R1059" s="3066">
        <v>3100</v>
      </c>
      <c r="S1059" s="3066" t="s">
        <v>3567</v>
      </c>
      <c r="T1059" s="3066">
        <v>38.46</v>
      </c>
      <c r="U1059" s="3066">
        <v>1550</v>
      </c>
      <c r="V1059" s="3066" t="s">
        <v>3560</v>
      </c>
      <c r="W1059" s="3066" t="s">
        <v>3568</v>
      </c>
      <c r="X1059" s="3066">
        <v>2.1</v>
      </c>
      <c r="Y1059" s="3066">
        <v>1015.56</v>
      </c>
      <c r="Z1059" s="3066" t="s">
        <v>3568</v>
      </c>
      <c r="AA1059" s="3066" t="s">
        <v>3560</v>
      </c>
      <c r="AB1059" s="3066" t="s">
        <v>6772</v>
      </c>
      <c r="AC1059" s="3066" t="s">
        <v>6772</v>
      </c>
      <c r="AD1059" s="3066" t="s">
        <v>6772</v>
      </c>
      <c r="AE1059" s="3066" t="s">
        <v>3560</v>
      </c>
      <c r="AF1059" s="3067">
        <v>1550</v>
      </c>
      <c r="AG1059" s="3066">
        <v>1550</v>
      </c>
      <c r="AH1059" s="3066">
        <v>84.63</v>
      </c>
      <c r="AI1059" s="3066">
        <v>0</v>
      </c>
      <c r="AJ1059" s="3066">
        <v>260.92</v>
      </c>
      <c r="AK1059" s="3066">
        <v>260.92</v>
      </c>
      <c r="AL1059" s="3066">
        <v>1895.55</v>
      </c>
      <c r="AM1059" s="3066">
        <v>1810.92</v>
      </c>
      <c r="AN1059" s="3066" t="s">
        <v>3560</v>
      </c>
      <c r="AP1059" s="3068">
        <f t="shared" si="16"/>
        <v>38.461538461538467</v>
      </c>
    </row>
    <row r="1060" spans="2:42" ht="27" customHeight="1">
      <c r="B1060" s="3066">
        <v>1194</v>
      </c>
      <c r="C1060" s="3066" t="s">
        <v>3159</v>
      </c>
      <c r="D1060" s="3066" t="s">
        <v>3901</v>
      </c>
      <c r="E1060" s="3066" t="s">
        <v>6773</v>
      </c>
      <c r="F1060" s="3066" t="s">
        <v>3917</v>
      </c>
      <c r="G1060" s="3066" t="s">
        <v>3560</v>
      </c>
      <c r="H1060" s="3066" t="s">
        <v>3560</v>
      </c>
      <c r="I1060" s="3066" t="s">
        <v>6774</v>
      </c>
      <c r="J1060" s="3066" t="s">
        <v>4857</v>
      </c>
      <c r="K1060" s="3066" t="s">
        <v>3560</v>
      </c>
      <c r="L1060" s="3066" t="s">
        <v>3755</v>
      </c>
      <c r="M1060" s="3066" t="s">
        <v>6775</v>
      </c>
      <c r="N1060" s="3066">
        <v>40.299999999999997</v>
      </c>
      <c r="O1060" s="3066" t="s">
        <v>6776</v>
      </c>
      <c r="P1060" s="3066" t="s">
        <v>3566</v>
      </c>
      <c r="Q1060" s="3066">
        <v>0</v>
      </c>
      <c r="R1060" s="3066">
        <v>3100</v>
      </c>
      <c r="S1060" s="3066" t="s">
        <v>3567</v>
      </c>
      <c r="T1060" s="3066">
        <v>38.46</v>
      </c>
      <c r="U1060" s="3066">
        <v>1550</v>
      </c>
      <c r="V1060" s="3066" t="s">
        <v>3560</v>
      </c>
      <c r="W1060" s="3066" t="s">
        <v>3568</v>
      </c>
      <c r="X1060" s="3066">
        <v>2.1</v>
      </c>
      <c r="Y1060" s="3066">
        <v>1015.56</v>
      </c>
      <c r="Z1060" s="3066" t="s">
        <v>3568</v>
      </c>
      <c r="AA1060" s="3066" t="s">
        <v>3560</v>
      </c>
      <c r="AB1060" s="3066" t="s">
        <v>4937</v>
      </c>
      <c r="AC1060" s="3066" t="s">
        <v>4937</v>
      </c>
      <c r="AD1060" s="3066" t="s">
        <v>4937</v>
      </c>
      <c r="AE1060" s="3066" t="s">
        <v>3560</v>
      </c>
      <c r="AF1060" s="3067">
        <v>1550</v>
      </c>
      <c r="AG1060" s="3066">
        <v>1550</v>
      </c>
      <c r="AH1060" s="3066">
        <v>84.63</v>
      </c>
      <c r="AI1060" s="3066">
        <v>84.63</v>
      </c>
      <c r="AJ1060" s="3066">
        <v>145.86000000000001</v>
      </c>
      <c r="AK1060" s="3066">
        <v>145.86000000000001</v>
      </c>
      <c r="AL1060" s="3066">
        <v>1780.49</v>
      </c>
      <c r="AM1060" s="3066">
        <v>1780.49</v>
      </c>
      <c r="AN1060" s="3066" t="s">
        <v>3560</v>
      </c>
      <c r="AP1060" s="3068">
        <f t="shared" si="16"/>
        <v>38.461538461538467</v>
      </c>
    </row>
    <row r="1061" spans="2:42" ht="27" customHeight="1">
      <c r="B1061" s="3066">
        <v>1195</v>
      </c>
      <c r="C1061" s="3066" t="s">
        <v>3159</v>
      </c>
      <c r="D1061" s="3066" t="s">
        <v>3901</v>
      </c>
      <c r="E1061" s="3066" t="s">
        <v>6777</v>
      </c>
      <c r="F1061" s="3066" t="s">
        <v>3917</v>
      </c>
      <c r="G1061" s="3066" t="s">
        <v>3560</v>
      </c>
      <c r="H1061" s="3066" t="s">
        <v>3560</v>
      </c>
      <c r="I1061" s="3066" t="s">
        <v>6778</v>
      </c>
      <c r="J1061" s="3066" t="s">
        <v>6778</v>
      </c>
      <c r="K1061" s="3066" t="s">
        <v>3560</v>
      </c>
      <c r="L1061" s="3066" t="s">
        <v>6779</v>
      </c>
      <c r="M1061" s="3066" t="s">
        <v>6780</v>
      </c>
      <c r="N1061" s="3066">
        <v>40.299999999999997</v>
      </c>
      <c r="O1061" s="3066" t="s">
        <v>6781</v>
      </c>
      <c r="P1061" s="3066" t="s">
        <v>3566</v>
      </c>
      <c r="Q1061" s="3066">
        <v>1</v>
      </c>
      <c r="R1061" s="3066">
        <v>3100</v>
      </c>
      <c r="S1061" s="3066" t="s">
        <v>3567</v>
      </c>
      <c r="T1061" s="3066">
        <v>38.46</v>
      </c>
      <c r="U1061" s="3066">
        <v>1550</v>
      </c>
      <c r="V1061" s="3066" t="s">
        <v>3560</v>
      </c>
      <c r="W1061" s="3066" t="s">
        <v>3568</v>
      </c>
      <c r="X1061" s="3066">
        <v>2.1</v>
      </c>
      <c r="Y1061" s="3066">
        <v>1015.56</v>
      </c>
      <c r="Z1061" s="3066" t="s">
        <v>3568</v>
      </c>
      <c r="AA1061" s="3066" t="s">
        <v>3560</v>
      </c>
      <c r="AB1061" s="3066" t="s">
        <v>6782</v>
      </c>
      <c r="AC1061" s="3066" t="s">
        <v>6782</v>
      </c>
      <c r="AD1061" s="3066" t="s">
        <v>6782</v>
      </c>
      <c r="AE1061" s="3066" t="s">
        <v>3560</v>
      </c>
      <c r="AF1061" s="3067">
        <v>1550</v>
      </c>
      <c r="AG1061" s="3066">
        <v>1550</v>
      </c>
      <c r="AH1061" s="3066">
        <v>84.63</v>
      </c>
      <c r="AI1061" s="3066">
        <v>84.63</v>
      </c>
      <c r="AJ1061" s="3066">
        <v>150.80000000000001</v>
      </c>
      <c r="AK1061" s="3066">
        <v>150.80000000000001</v>
      </c>
      <c r="AL1061" s="3066">
        <v>1785.43</v>
      </c>
      <c r="AM1061" s="3066">
        <v>1785.43</v>
      </c>
      <c r="AN1061" s="3066" t="s">
        <v>3560</v>
      </c>
      <c r="AP1061" s="3068">
        <f t="shared" si="16"/>
        <v>38.461538461538467</v>
      </c>
    </row>
    <row r="1062" spans="2:42" ht="27" customHeight="1">
      <c r="B1062" s="3066">
        <v>1196</v>
      </c>
      <c r="C1062" s="3066" t="s">
        <v>3159</v>
      </c>
      <c r="D1062" s="3066" t="s">
        <v>3901</v>
      </c>
      <c r="E1062" s="3066" t="s">
        <v>6783</v>
      </c>
      <c r="F1062" s="3066" t="s">
        <v>3917</v>
      </c>
      <c r="G1062" s="3066" t="s">
        <v>3560</v>
      </c>
      <c r="H1062" s="3066" t="s">
        <v>3560</v>
      </c>
      <c r="I1062" s="3066" t="s">
        <v>6784</v>
      </c>
      <c r="J1062" s="3066" t="s">
        <v>6784</v>
      </c>
      <c r="K1062" s="3066" t="s">
        <v>3560</v>
      </c>
      <c r="L1062" s="3066" t="s">
        <v>6785</v>
      </c>
      <c r="M1062" s="3066" t="s">
        <v>6786</v>
      </c>
      <c r="N1062" s="3066">
        <v>40.299999999999997</v>
      </c>
      <c r="O1062" s="3066" t="s">
        <v>6787</v>
      </c>
      <c r="P1062" s="3066" t="s">
        <v>3566</v>
      </c>
      <c r="Q1062" s="3066">
        <v>0</v>
      </c>
      <c r="R1062" s="3066">
        <v>3200</v>
      </c>
      <c r="S1062" s="3066" t="s">
        <v>3567</v>
      </c>
      <c r="T1062" s="3066">
        <v>39.700000000000003</v>
      </c>
      <c r="U1062" s="3066">
        <v>1600</v>
      </c>
      <c r="V1062" s="3066" t="s">
        <v>3560</v>
      </c>
      <c r="W1062" s="3066" t="s">
        <v>3568</v>
      </c>
      <c r="X1062" s="3066">
        <v>2.1</v>
      </c>
      <c r="Y1062" s="3066">
        <v>1015.56</v>
      </c>
      <c r="Z1062" s="3066" t="s">
        <v>3568</v>
      </c>
      <c r="AA1062" s="3066" t="s">
        <v>3560</v>
      </c>
      <c r="AB1062" s="3066" t="s">
        <v>4489</v>
      </c>
      <c r="AC1062" s="3066" t="s">
        <v>4489</v>
      </c>
      <c r="AD1062" s="3066" t="s">
        <v>4489</v>
      </c>
      <c r="AE1062" s="3066" t="s">
        <v>3560</v>
      </c>
      <c r="AF1062" s="3067">
        <v>1600</v>
      </c>
      <c r="AG1062" s="3066">
        <v>0</v>
      </c>
      <c r="AH1062" s="3066">
        <v>84.63</v>
      </c>
      <c r="AI1062" s="3066">
        <v>0</v>
      </c>
      <c r="AJ1062" s="3066">
        <v>77.73</v>
      </c>
      <c r="AK1062" s="3066">
        <v>0</v>
      </c>
      <c r="AL1062" s="3066">
        <v>1762.36</v>
      </c>
      <c r="AM1062" s="3066">
        <v>0</v>
      </c>
      <c r="AN1062" s="3066" t="s">
        <v>3560</v>
      </c>
      <c r="AP1062" s="3068">
        <f t="shared" si="16"/>
        <v>39.702233250620353</v>
      </c>
    </row>
    <row r="1063" spans="2:42" ht="27" customHeight="1">
      <c r="B1063" s="3066">
        <v>1197</v>
      </c>
      <c r="C1063" s="3066" t="s">
        <v>3159</v>
      </c>
      <c r="D1063" s="3066" t="s">
        <v>3901</v>
      </c>
      <c r="E1063" s="3066" t="s">
        <v>6783</v>
      </c>
      <c r="F1063" s="3066" t="s">
        <v>3917</v>
      </c>
      <c r="G1063" s="3066" t="s">
        <v>3560</v>
      </c>
      <c r="H1063" s="3066" t="s">
        <v>3560</v>
      </c>
      <c r="I1063" s="3066" t="s">
        <v>6784</v>
      </c>
      <c r="J1063" s="3066" t="s">
        <v>6784</v>
      </c>
      <c r="K1063" s="3066" t="s">
        <v>3560</v>
      </c>
      <c r="L1063" s="3066" t="s">
        <v>6785</v>
      </c>
      <c r="M1063" s="3066" t="s">
        <v>6786</v>
      </c>
      <c r="N1063" s="3066">
        <v>40.299999999999997</v>
      </c>
      <c r="O1063" s="3066" t="s">
        <v>6788</v>
      </c>
      <c r="P1063" s="3066" t="s">
        <v>4096</v>
      </c>
      <c r="Q1063" s="3066">
        <v>0</v>
      </c>
      <c r="R1063" s="3066">
        <v>3200</v>
      </c>
      <c r="S1063" s="3066" t="s">
        <v>3567</v>
      </c>
      <c r="T1063" s="3066">
        <v>38.46</v>
      </c>
      <c r="U1063" s="3066">
        <v>1550</v>
      </c>
      <c r="V1063" s="3066" t="s">
        <v>3560</v>
      </c>
      <c r="W1063" s="3066" t="s">
        <v>3568</v>
      </c>
      <c r="X1063" s="3066">
        <v>2.1</v>
      </c>
      <c r="Y1063" s="3066">
        <v>1015.56</v>
      </c>
      <c r="Z1063" s="3066" t="s">
        <v>3568</v>
      </c>
      <c r="AA1063" s="3066" t="s">
        <v>3560</v>
      </c>
      <c r="AB1063" s="3066" t="s">
        <v>4868</v>
      </c>
      <c r="AC1063" s="3066" t="s">
        <v>4868</v>
      </c>
      <c r="AD1063" s="3066" t="s">
        <v>4868</v>
      </c>
      <c r="AE1063" s="3066" t="s">
        <v>3560</v>
      </c>
      <c r="AF1063" s="3067">
        <v>1600</v>
      </c>
      <c r="AG1063" s="3066">
        <v>0</v>
      </c>
      <c r="AH1063" s="3066">
        <v>84.63</v>
      </c>
      <c r="AI1063" s="3066">
        <v>0</v>
      </c>
      <c r="AJ1063" s="3066">
        <v>77.73</v>
      </c>
      <c r="AK1063" s="3066">
        <v>0</v>
      </c>
      <c r="AL1063" s="3066">
        <v>1762.36</v>
      </c>
      <c r="AM1063" s="3066">
        <v>0</v>
      </c>
      <c r="AN1063" s="3066" t="s">
        <v>3560</v>
      </c>
      <c r="AP1063" s="3068">
        <f t="shared" si="16"/>
        <v>39.702233250620353</v>
      </c>
    </row>
    <row r="1064" spans="2:42" ht="27" customHeight="1">
      <c r="B1064" s="3066">
        <v>1198</v>
      </c>
      <c r="C1064" s="3066" t="s">
        <v>3159</v>
      </c>
      <c r="D1064" s="3066" t="s">
        <v>3901</v>
      </c>
      <c r="E1064" s="3066" t="s">
        <v>6789</v>
      </c>
      <c r="F1064" s="3066" t="s">
        <v>3917</v>
      </c>
      <c r="G1064" s="3066" t="s">
        <v>3560</v>
      </c>
      <c r="H1064" s="3066" t="s">
        <v>3560</v>
      </c>
      <c r="I1064" s="3066" t="s">
        <v>6790</v>
      </c>
      <c r="J1064" s="3066" t="s">
        <v>6790</v>
      </c>
      <c r="K1064" s="3066" t="s">
        <v>3560</v>
      </c>
      <c r="L1064" s="3066" t="s">
        <v>6791</v>
      </c>
      <c r="M1064" s="3066" t="s">
        <v>6792</v>
      </c>
      <c r="N1064" s="3066">
        <v>40.299999999999997</v>
      </c>
      <c r="O1064" s="3066" t="s">
        <v>6793</v>
      </c>
      <c r="P1064" s="3066" t="s">
        <v>3566</v>
      </c>
      <c r="Q1064" s="3066">
        <v>0</v>
      </c>
      <c r="R1064" s="3066">
        <v>3100</v>
      </c>
      <c r="S1064" s="3066" t="s">
        <v>3567</v>
      </c>
      <c r="T1064" s="3066">
        <v>38.46</v>
      </c>
      <c r="U1064" s="3066">
        <v>1550</v>
      </c>
      <c r="V1064" s="3066" t="s">
        <v>3560</v>
      </c>
      <c r="W1064" s="3066" t="s">
        <v>3568</v>
      </c>
      <c r="X1064" s="3066">
        <v>2.1</v>
      </c>
      <c r="Y1064" s="3066">
        <v>1015.56</v>
      </c>
      <c r="Z1064" s="3066" t="s">
        <v>3568</v>
      </c>
      <c r="AA1064" s="3066" t="s">
        <v>3560</v>
      </c>
      <c r="AB1064" s="3066" t="s">
        <v>6794</v>
      </c>
      <c r="AC1064" s="3066" t="s">
        <v>6794</v>
      </c>
      <c r="AD1064" s="3066" t="s">
        <v>6794</v>
      </c>
      <c r="AE1064" s="3066" t="s">
        <v>3560</v>
      </c>
      <c r="AF1064" s="3067">
        <v>1550</v>
      </c>
      <c r="AG1064" s="3066">
        <v>1550</v>
      </c>
      <c r="AH1064" s="3066">
        <v>84.63</v>
      </c>
      <c r="AI1064" s="3066">
        <v>84.63</v>
      </c>
      <c r="AJ1064" s="3066">
        <v>140</v>
      </c>
      <c r="AK1064" s="3066">
        <v>140</v>
      </c>
      <c r="AL1064" s="3066">
        <v>1774.63</v>
      </c>
      <c r="AM1064" s="3066">
        <v>1774.63</v>
      </c>
      <c r="AN1064" s="3066" t="s">
        <v>3560</v>
      </c>
      <c r="AP1064" s="3068">
        <f t="shared" si="16"/>
        <v>38.461538461538467</v>
      </c>
    </row>
    <row r="1065" spans="2:42" ht="27" customHeight="1">
      <c r="B1065" s="3066">
        <v>1199</v>
      </c>
      <c r="C1065" s="3066" t="s">
        <v>3159</v>
      </c>
      <c r="D1065" s="3066" t="s">
        <v>3901</v>
      </c>
      <c r="E1065" s="3066" t="s">
        <v>6789</v>
      </c>
      <c r="F1065" s="3066" t="s">
        <v>3917</v>
      </c>
      <c r="G1065" s="3066" t="s">
        <v>3560</v>
      </c>
      <c r="H1065" s="3066" t="s">
        <v>3560</v>
      </c>
      <c r="I1065" s="3066" t="s">
        <v>6790</v>
      </c>
      <c r="J1065" s="3066" t="s">
        <v>6790</v>
      </c>
      <c r="K1065" s="3066" t="s">
        <v>3560</v>
      </c>
      <c r="L1065" s="3066" t="s">
        <v>6791</v>
      </c>
      <c r="M1065" s="3066" t="s">
        <v>6792</v>
      </c>
      <c r="N1065" s="3066">
        <v>40.299999999999997</v>
      </c>
      <c r="O1065" s="3066" t="s">
        <v>6795</v>
      </c>
      <c r="P1065" s="3066" t="s">
        <v>4096</v>
      </c>
      <c r="Q1065" s="3066">
        <v>0</v>
      </c>
      <c r="R1065" s="3066">
        <v>3100</v>
      </c>
      <c r="S1065" s="3066" t="s">
        <v>3567</v>
      </c>
      <c r="T1065" s="3066">
        <v>38.46</v>
      </c>
      <c r="U1065" s="3066">
        <v>1550</v>
      </c>
      <c r="V1065" s="3066" t="s">
        <v>3560</v>
      </c>
      <c r="W1065" s="3066" t="s">
        <v>3568</v>
      </c>
      <c r="X1065" s="3066">
        <v>2.1</v>
      </c>
      <c r="Y1065" s="3066">
        <v>1015.56</v>
      </c>
      <c r="Z1065" s="3066" t="s">
        <v>3568</v>
      </c>
      <c r="AA1065" s="3066" t="s">
        <v>3560</v>
      </c>
      <c r="AB1065" s="3066" t="s">
        <v>4868</v>
      </c>
      <c r="AC1065" s="3066" t="s">
        <v>4868</v>
      </c>
      <c r="AD1065" s="3066" t="s">
        <v>4868</v>
      </c>
      <c r="AE1065" s="3066" t="s">
        <v>3560</v>
      </c>
      <c r="AF1065" s="3067">
        <v>1550</v>
      </c>
      <c r="AG1065" s="3066">
        <v>1550</v>
      </c>
      <c r="AH1065" s="3066">
        <v>84.63</v>
      </c>
      <c r="AI1065" s="3066">
        <v>84.63</v>
      </c>
      <c r="AJ1065" s="3066">
        <v>140</v>
      </c>
      <c r="AK1065" s="3066">
        <v>140</v>
      </c>
      <c r="AL1065" s="3066">
        <v>1774.63</v>
      </c>
      <c r="AM1065" s="3066">
        <v>1774.63</v>
      </c>
      <c r="AN1065" s="3066" t="s">
        <v>3560</v>
      </c>
      <c r="AP1065" s="3068">
        <f t="shared" si="16"/>
        <v>38.461538461538467</v>
      </c>
    </row>
    <row r="1066" spans="2:42" ht="27" customHeight="1">
      <c r="B1066" s="3066">
        <v>1200</v>
      </c>
      <c r="C1066" s="3066" t="s">
        <v>3159</v>
      </c>
      <c r="D1066" s="3066" t="s">
        <v>3901</v>
      </c>
      <c r="E1066" s="3066" t="s">
        <v>6796</v>
      </c>
      <c r="F1066" s="3066" t="s">
        <v>3917</v>
      </c>
      <c r="G1066" s="3066" t="s">
        <v>3560</v>
      </c>
      <c r="H1066" s="3066" t="s">
        <v>3560</v>
      </c>
      <c r="I1066" s="3066" t="s">
        <v>6746</v>
      </c>
      <c r="J1066" s="3066" t="s">
        <v>6747</v>
      </c>
      <c r="K1066" s="3066" t="s">
        <v>3560</v>
      </c>
      <c r="L1066" s="3066" t="s">
        <v>6748</v>
      </c>
      <c r="M1066" s="3066" t="s">
        <v>6797</v>
      </c>
      <c r="N1066" s="3066">
        <v>40.299999999999997</v>
      </c>
      <c r="O1066" s="3066" t="s">
        <v>5034</v>
      </c>
      <c r="P1066" s="3066" t="s">
        <v>3566</v>
      </c>
      <c r="Q1066" s="3066">
        <v>1</v>
      </c>
      <c r="R1066" s="3066">
        <v>0</v>
      </c>
      <c r="S1066" s="3066" t="s">
        <v>3577</v>
      </c>
      <c r="T1066" s="3066">
        <v>38.46</v>
      </c>
      <c r="U1066" s="3066">
        <v>1550</v>
      </c>
      <c r="V1066" s="3066" t="s">
        <v>3560</v>
      </c>
      <c r="W1066" s="3066" t="s">
        <v>3568</v>
      </c>
      <c r="X1066" s="3066">
        <v>2.1</v>
      </c>
      <c r="Y1066" s="3066">
        <v>1015.56</v>
      </c>
      <c r="Z1066" s="3066" t="s">
        <v>3568</v>
      </c>
      <c r="AA1066" s="3066" t="s">
        <v>3560</v>
      </c>
      <c r="AB1066" s="3066" t="s">
        <v>5035</v>
      </c>
      <c r="AC1066" s="3066" t="s">
        <v>5035</v>
      </c>
      <c r="AD1066" s="3066" t="s">
        <v>5035</v>
      </c>
      <c r="AE1066" s="3066" t="s">
        <v>3560</v>
      </c>
      <c r="AF1066" s="3067">
        <v>1550</v>
      </c>
      <c r="AG1066" s="3066">
        <v>1550</v>
      </c>
      <c r="AH1066" s="3066">
        <v>84.63</v>
      </c>
      <c r="AI1066" s="3066">
        <v>0</v>
      </c>
      <c r="AJ1066" s="3066">
        <v>197.99</v>
      </c>
      <c r="AK1066" s="3066">
        <v>197.99</v>
      </c>
      <c r="AL1066" s="3066">
        <v>1832.62</v>
      </c>
      <c r="AM1066" s="3066">
        <v>1747.99</v>
      </c>
      <c r="AN1066" s="3066" t="s">
        <v>3560</v>
      </c>
      <c r="AP1066" s="3068">
        <f t="shared" si="16"/>
        <v>38.461538461538467</v>
      </c>
    </row>
    <row r="1067" spans="2:42" ht="27" customHeight="1">
      <c r="B1067" s="3066">
        <v>1201</v>
      </c>
      <c r="C1067" s="3066" t="s">
        <v>3159</v>
      </c>
      <c r="D1067" s="3066" t="s">
        <v>3901</v>
      </c>
      <c r="E1067" s="3066" t="s">
        <v>6798</v>
      </c>
      <c r="F1067" s="3066" t="s">
        <v>3917</v>
      </c>
      <c r="G1067" s="3066" t="s">
        <v>3560</v>
      </c>
      <c r="H1067" s="3066" t="s">
        <v>3560</v>
      </c>
      <c r="I1067" s="3066" t="s">
        <v>6799</v>
      </c>
      <c r="J1067" s="3066" t="s">
        <v>6799</v>
      </c>
      <c r="K1067" s="3066" t="s">
        <v>3560</v>
      </c>
      <c r="L1067" s="3066" t="s">
        <v>6800</v>
      </c>
      <c r="M1067" s="3066" t="s">
        <v>6801</v>
      </c>
      <c r="N1067" s="3066">
        <v>46.3</v>
      </c>
      <c r="O1067" s="3066" t="s">
        <v>6802</v>
      </c>
      <c r="P1067" s="3066" t="s">
        <v>3566</v>
      </c>
      <c r="Q1067" s="3066">
        <v>0</v>
      </c>
      <c r="R1067" s="3066">
        <v>3500</v>
      </c>
      <c r="S1067" s="3066" t="s">
        <v>3567</v>
      </c>
      <c r="T1067" s="3066">
        <v>37.799999999999997</v>
      </c>
      <c r="U1067" s="3066">
        <v>1750</v>
      </c>
      <c r="V1067" s="3066" t="s">
        <v>3560</v>
      </c>
      <c r="W1067" s="3066" t="s">
        <v>3568</v>
      </c>
      <c r="X1067" s="3066">
        <v>2.1</v>
      </c>
      <c r="Y1067" s="3066">
        <v>1166.76</v>
      </c>
      <c r="Z1067" s="3066" t="s">
        <v>3568</v>
      </c>
      <c r="AA1067" s="3066" t="s">
        <v>3560</v>
      </c>
      <c r="AB1067" s="3066" t="s">
        <v>4811</v>
      </c>
      <c r="AC1067" s="3066" t="s">
        <v>4811</v>
      </c>
      <c r="AD1067" s="3066" t="s">
        <v>4811</v>
      </c>
      <c r="AE1067" s="3066" t="s">
        <v>3560</v>
      </c>
      <c r="AF1067" s="3067">
        <v>1750</v>
      </c>
      <c r="AG1067" s="3066">
        <v>0</v>
      </c>
      <c r="AH1067" s="3066">
        <v>97.23</v>
      </c>
      <c r="AI1067" s="3066">
        <v>0</v>
      </c>
      <c r="AJ1067" s="3066">
        <v>336.65</v>
      </c>
      <c r="AK1067" s="3066">
        <v>0</v>
      </c>
      <c r="AL1067" s="3066">
        <v>2183.88</v>
      </c>
      <c r="AM1067" s="3066">
        <v>0</v>
      </c>
      <c r="AN1067" s="3066" t="s">
        <v>3560</v>
      </c>
      <c r="AP1067" s="3068">
        <f t="shared" si="16"/>
        <v>37.796976241900651</v>
      </c>
    </row>
    <row r="1068" spans="2:42" ht="27" customHeight="1">
      <c r="B1068" s="3066">
        <v>1205</v>
      </c>
      <c r="C1068" s="3066" t="s">
        <v>3106</v>
      </c>
      <c r="D1068" s="3066" t="s">
        <v>4019</v>
      </c>
      <c r="E1068" s="3066" t="s">
        <v>6803</v>
      </c>
      <c r="F1068" s="3066" t="s">
        <v>3559</v>
      </c>
      <c r="G1068" s="3066" t="s">
        <v>3560</v>
      </c>
      <c r="H1068" s="3066" t="s">
        <v>3560</v>
      </c>
      <c r="I1068" s="3066" t="s">
        <v>3560</v>
      </c>
      <c r="J1068" s="3066" t="s">
        <v>3560</v>
      </c>
      <c r="K1068" s="3066" t="s">
        <v>3560</v>
      </c>
      <c r="L1068" s="3066" t="s">
        <v>3560</v>
      </c>
      <c r="M1068" s="3066" t="s">
        <v>6804</v>
      </c>
      <c r="N1068" s="3066">
        <v>150</v>
      </c>
      <c r="O1068" s="3066" t="s">
        <v>3560</v>
      </c>
      <c r="P1068" s="3066" t="s">
        <v>3560</v>
      </c>
      <c r="Q1068" s="3066">
        <v>0</v>
      </c>
      <c r="R1068" s="3066">
        <v>0</v>
      </c>
      <c r="S1068" s="3066" t="s">
        <v>3577</v>
      </c>
      <c r="T1068" s="3066">
        <v>0</v>
      </c>
      <c r="U1068" s="3066">
        <v>0</v>
      </c>
      <c r="V1068" s="3066" t="s">
        <v>3560</v>
      </c>
      <c r="W1068" s="3066" t="s">
        <v>3568</v>
      </c>
      <c r="X1068" s="3066">
        <v>0</v>
      </c>
      <c r="Y1068" s="3066">
        <v>0</v>
      </c>
      <c r="Z1068" s="3066" t="s">
        <v>3568</v>
      </c>
      <c r="AA1068" s="3066" t="s">
        <v>3560</v>
      </c>
      <c r="AB1068" s="3066" t="s">
        <v>3560</v>
      </c>
      <c r="AC1068" s="3066" t="s">
        <v>3560</v>
      </c>
      <c r="AD1068" s="3066" t="s">
        <v>3560</v>
      </c>
      <c r="AE1068" s="3066" t="s">
        <v>3560</v>
      </c>
      <c r="AF1068" s="3067">
        <v>0</v>
      </c>
      <c r="AG1068" s="3066">
        <v>0</v>
      </c>
      <c r="AH1068" s="3066">
        <v>0</v>
      </c>
      <c r="AI1068" s="3066">
        <v>0</v>
      </c>
      <c r="AJ1068" s="3066">
        <v>0</v>
      </c>
      <c r="AK1068" s="3066">
        <v>0</v>
      </c>
      <c r="AL1068" s="3066">
        <v>0</v>
      </c>
      <c r="AM1068" s="3066">
        <v>0</v>
      </c>
      <c r="AN1068" s="3066" t="s">
        <v>3560</v>
      </c>
      <c r="AP1068" s="3068">
        <f t="shared" si="16"/>
        <v>0</v>
      </c>
    </row>
    <row r="1069" spans="2:42" ht="27" customHeight="1">
      <c r="B1069" s="3066">
        <v>1206</v>
      </c>
      <c r="C1069" s="3066" t="s">
        <v>3106</v>
      </c>
      <c r="D1069" s="3066" t="s">
        <v>4019</v>
      </c>
      <c r="E1069" s="3066" t="s">
        <v>6805</v>
      </c>
      <c r="F1069" s="3066" t="s">
        <v>3559</v>
      </c>
      <c r="G1069" s="3066" t="s">
        <v>3560</v>
      </c>
      <c r="H1069" s="3066" t="s">
        <v>3560</v>
      </c>
      <c r="I1069" s="3066" t="s">
        <v>3560</v>
      </c>
      <c r="J1069" s="3066" t="s">
        <v>3560</v>
      </c>
      <c r="K1069" s="3066" t="s">
        <v>3560</v>
      </c>
      <c r="L1069" s="3066" t="s">
        <v>3560</v>
      </c>
      <c r="M1069" s="3066" t="s">
        <v>6806</v>
      </c>
      <c r="N1069" s="3066">
        <v>641.6</v>
      </c>
      <c r="O1069" s="3066" t="s">
        <v>3560</v>
      </c>
      <c r="P1069" s="3066" t="s">
        <v>3560</v>
      </c>
      <c r="Q1069" s="3066">
        <v>0</v>
      </c>
      <c r="R1069" s="3066">
        <v>0</v>
      </c>
      <c r="S1069" s="3066" t="s">
        <v>3577</v>
      </c>
      <c r="T1069" s="3066">
        <v>0</v>
      </c>
      <c r="U1069" s="3066">
        <v>0</v>
      </c>
      <c r="V1069" s="3066" t="s">
        <v>3560</v>
      </c>
      <c r="W1069" s="3066" t="s">
        <v>3568</v>
      </c>
      <c r="X1069" s="3066">
        <v>0</v>
      </c>
      <c r="Y1069" s="3066">
        <v>0</v>
      </c>
      <c r="Z1069" s="3066" t="s">
        <v>3568</v>
      </c>
      <c r="AA1069" s="3066" t="s">
        <v>3560</v>
      </c>
      <c r="AB1069" s="3066" t="s">
        <v>3560</v>
      </c>
      <c r="AC1069" s="3066" t="s">
        <v>3560</v>
      </c>
      <c r="AD1069" s="3066" t="s">
        <v>3560</v>
      </c>
      <c r="AE1069" s="3066" t="s">
        <v>3560</v>
      </c>
      <c r="AF1069" s="3067">
        <v>0</v>
      </c>
      <c r="AG1069" s="3066">
        <v>0</v>
      </c>
      <c r="AH1069" s="3066">
        <v>0</v>
      </c>
      <c r="AI1069" s="3066">
        <v>0</v>
      </c>
      <c r="AJ1069" s="3066">
        <v>0</v>
      </c>
      <c r="AK1069" s="3066">
        <v>0</v>
      </c>
      <c r="AL1069" s="3066">
        <v>0</v>
      </c>
      <c r="AM1069" s="3066">
        <v>0</v>
      </c>
      <c r="AN1069" s="3066" t="s">
        <v>3560</v>
      </c>
      <c r="AP1069" s="3068">
        <f t="shared" si="16"/>
        <v>0</v>
      </c>
    </row>
    <row r="1070" spans="2:42" ht="27" customHeight="1">
      <c r="B1070" s="3066">
        <v>1207</v>
      </c>
      <c r="C1070" s="3066" t="s">
        <v>3846</v>
      </c>
      <c r="D1070" s="3066" t="s">
        <v>3585</v>
      </c>
      <c r="E1070" s="3066" t="s">
        <v>6807</v>
      </c>
      <c r="F1070" s="3066" t="s">
        <v>3559</v>
      </c>
      <c r="G1070" s="3066" t="s">
        <v>3560</v>
      </c>
      <c r="H1070" s="3066" t="s">
        <v>3560</v>
      </c>
      <c r="I1070" s="3066" t="s">
        <v>6808</v>
      </c>
      <c r="J1070" s="3066" t="s">
        <v>6809</v>
      </c>
      <c r="K1070" s="3066" t="s">
        <v>3560</v>
      </c>
      <c r="L1070" s="3066" t="s">
        <v>6810</v>
      </c>
      <c r="M1070" s="3066" t="s">
        <v>6811</v>
      </c>
      <c r="N1070" s="3066">
        <v>1088</v>
      </c>
      <c r="O1070" s="3066" t="s">
        <v>6812</v>
      </c>
      <c r="P1070" s="3066" t="s">
        <v>3566</v>
      </c>
      <c r="Q1070" s="3066">
        <v>1</v>
      </c>
      <c r="R1070" s="3066">
        <v>86496</v>
      </c>
      <c r="S1070" s="3066" t="s">
        <v>3567</v>
      </c>
      <c r="T1070" s="3066">
        <v>24</v>
      </c>
      <c r="U1070" s="3066">
        <v>26112</v>
      </c>
      <c r="V1070" s="3066" t="s">
        <v>3560</v>
      </c>
      <c r="W1070" s="3066" t="s">
        <v>3568</v>
      </c>
      <c r="X1070" s="3066">
        <v>2.5</v>
      </c>
      <c r="Y1070" s="3066">
        <v>32640</v>
      </c>
      <c r="Z1070" s="3066" t="s">
        <v>3568</v>
      </c>
      <c r="AA1070" s="3066" t="s">
        <v>3560</v>
      </c>
      <c r="AB1070" s="3066" t="s">
        <v>3642</v>
      </c>
      <c r="AC1070" s="3066" t="s">
        <v>3642</v>
      </c>
      <c r="AD1070" s="3066" t="s">
        <v>3642</v>
      </c>
      <c r="AE1070" s="3066" t="s">
        <v>3560</v>
      </c>
      <c r="AF1070" s="3067">
        <v>26112</v>
      </c>
      <c r="AG1070" s="3066">
        <v>26112</v>
      </c>
      <c r="AH1070" s="3066">
        <v>2720</v>
      </c>
      <c r="AI1070" s="3066">
        <v>2720</v>
      </c>
      <c r="AJ1070" s="3066">
        <v>1565.28</v>
      </c>
      <c r="AK1070" s="3066">
        <v>1565.28</v>
      </c>
      <c r="AL1070" s="3066">
        <v>30397.279999999999</v>
      </c>
      <c r="AM1070" s="3066">
        <v>30397.279999999999</v>
      </c>
      <c r="AN1070" s="3066" t="s">
        <v>3560</v>
      </c>
      <c r="AP1070" s="3068">
        <f t="shared" si="16"/>
        <v>24</v>
      </c>
    </row>
    <row r="1071" spans="2:42" ht="27" customHeight="1">
      <c r="B1071" s="3066">
        <v>1208</v>
      </c>
      <c r="C1071" s="3066" t="s">
        <v>3846</v>
      </c>
      <c r="D1071" s="3066" t="s">
        <v>3585</v>
      </c>
      <c r="E1071" s="3066" t="s">
        <v>6813</v>
      </c>
      <c r="F1071" s="3066" t="s">
        <v>3559</v>
      </c>
      <c r="G1071" s="3066" t="s">
        <v>3560</v>
      </c>
      <c r="H1071" s="3066" t="s">
        <v>3560</v>
      </c>
      <c r="I1071" s="3066" t="s">
        <v>6814</v>
      </c>
      <c r="J1071" s="3066" t="s">
        <v>6815</v>
      </c>
      <c r="K1071" s="3066" t="s">
        <v>3560</v>
      </c>
      <c r="L1071" s="3066" t="s">
        <v>6810</v>
      </c>
      <c r="M1071" s="3066" t="s">
        <v>6816</v>
      </c>
      <c r="N1071" s="3066">
        <v>1088</v>
      </c>
      <c r="O1071" s="3066" t="s">
        <v>6812</v>
      </c>
      <c r="P1071" s="3066" t="s">
        <v>3566</v>
      </c>
      <c r="Q1071" s="3066">
        <v>1</v>
      </c>
      <c r="R1071" s="3066">
        <v>86496</v>
      </c>
      <c r="S1071" s="3066" t="s">
        <v>3567</v>
      </c>
      <c r="T1071" s="3066">
        <v>24</v>
      </c>
      <c r="U1071" s="3066">
        <v>26112</v>
      </c>
      <c r="V1071" s="3066" t="s">
        <v>3560</v>
      </c>
      <c r="W1071" s="3066" t="s">
        <v>3568</v>
      </c>
      <c r="X1071" s="3066">
        <v>2.5</v>
      </c>
      <c r="Y1071" s="3066">
        <v>32640</v>
      </c>
      <c r="Z1071" s="3066" t="s">
        <v>3568</v>
      </c>
      <c r="AA1071" s="3066" t="s">
        <v>3560</v>
      </c>
      <c r="AB1071" s="3066" t="s">
        <v>3642</v>
      </c>
      <c r="AC1071" s="3066" t="s">
        <v>3642</v>
      </c>
      <c r="AD1071" s="3066" t="s">
        <v>3642</v>
      </c>
      <c r="AE1071" s="3066" t="s">
        <v>3560</v>
      </c>
      <c r="AF1071" s="3067">
        <v>26112</v>
      </c>
      <c r="AG1071" s="3066">
        <v>26112</v>
      </c>
      <c r="AH1071" s="3066">
        <v>2720</v>
      </c>
      <c r="AI1071" s="3066">
        <v>2720</v>
      </c>
      <c r="AJ1071" s="3066">
        <v>3178.02</v>
      </c>
      <c r="AK1071" s="3066">
        <v>3178.02</v>
      </c>
      <c r="AL1071" s="3066">
        <v>32010.02</v>
      </c>
      <c r="AM1071" s="3066">
        <v>32010.02</v>
      </c>
      <c r="AN1071" s="3066" t="s">
        <v>3560</v>
      </c>
      <c r="AP1071" s="3068">
        <f t="shared" si="16"/>
        <v>24</v>
      </c>
    </row>
    <row r="1072" spans="2:42" ht="27" customHeight="1">
      <c r="B1072" s="3066">
        <v>1209</v>
      </c>
      <c r="C1072" s="3066" t="s">
        <v>5748</v>
      </c>
      <c r="D1072" s="3066" t="s">
        <v>3972</v>
      </c>
      <c r="E1072" s="3066" t="s">
        <v>6817</v>
      </c>
      <c r="F1072" s="3066" t="s">
        <v>3917</v>
      </c>
      <c r="G1072" s="3066" t="s">
        <v>1373</v>
      </c>
      <c r="H1072" s="3066" t="s">
        <v>3560</v>
      </c>
      <c r="I1072" s="3066" t="s">
        <v>6818</v>
      </c>
      <c r="J1072" s="3066" t="s">
        <v>6819</v>
      </c>
      <c r="K1072" s="3066" t="s">
        <v>3560</v>
      </c>
      <c r="L1072" s="3066" t="s">
        <v>6820</v>
      </c>
      <c r="M1072" s="3066" t="s">
        <v>6821</v>
      </c>
      <c r="N1072" s="3066">
        <v>35.6</v>
      </c>
      <c r="O1072" s="3066" t="s">
        <v>3619</v>
      </c>
      <c r="P1072" s="3066" t="s">
        <v>3566</v>
      </c>
      <c r="Q1072" s="3066">
        <v>1</v>
      </c>
      <c r="R1072" s="3066">
        <v>16447.2</v>
      </c>
      <c r="S1072" s="3066" t="s">
        <v>3567</v>
      </c>
      <c r="T1072" s="3066">
        <v>20</v>
      </c>
      <c r="U1072" s="3066">
        <v>712</v>
      </c>
      <c r="V1072" s="3066" t="s">
        <v>3560</v>
      </c>
      <c r="W1072" s="3066" t="s">
        <v>3568</v>
      </c>
      <c r="X1072" s="3066">
        <v>2</v>
      </c>
      <c r="Y1072" s="3066">
        <v>854.4</v>
      </c>
      <c r="Z1072" s="3066" t="s">
        <v>3568</v>
      </c>
      <c r="AA1072" s="3066" t="s">
        <v>3560</v>
      </c>
      <c r="AB1072" s="3066" t="s">
        <v>3584</v>
      </c>
      <c r="AC1072" s="3066" t="s">
        <v>3584</v>
      </c>
      <c r="AD1072" s="3066" t="s">
        <v>3584</v>
      </c>
      <c r="AE1072" s="3066" t="s">
        <v>3560</v>
      </c>
      <c r="AF1072" s="3067">
        <v>712</v>
      </c>
      <c r="AG1072" s="3066">
        <v>0</v>
      </c>
      <c r="AH1072" s="3066">
        <v>71.2</v>
      </c>
      <c r="AI1072" s="3066">
        <v>0</v>
      </c>
      <c r="AJ1072" s="3066">
        <v>57.32</v>
      </c>
      <c r="AK1072" s="3066">
        <v>0</v>
      </c>
      <c r="AL1072" s="3066">
        <v>840.52</v>
      </c>
      <c r="AM1072" s="3066">
        <v>0</v>
      </c>
      <c r="AN1072" s="3066" t="s">
        <v>3560</v>
      </c>
      <c r="AP1072" s="3068">
        <f t="shared" si="16"/>
        <v>20</v>
      </c>
    </row>
    <row r="1073" spans="2:42" ht="27" customHeight="1">
      <c r="B1073" s="3066">
        <v>1210</v>
      </c>
      <c r="C1073" s="3066" t="s">
        <v>5748</v>
      </c>
      <c r="D1073" s="3066" t="s">
        <v>3972</v>
      </c>
      <c r="E1073" s="3066" t="s">
        <v>6822</v>
      </c>
      <c r="F1073" s="3066" t="s">
        <v>3917</v>
      </c>
      <c r="G1073" s="3066" t="s">
        <v>1373</v>
      </c>
      <c r="H1073" s="3066" t="s">
        <v>3560</v>
      </c>
      <c r="I1073" s="3066" t="s">
        <v>6818</v>
      </c>
      <c r="J1073" s="3066" t="s">
        <v>6819</v>
      </c>
      <c r="K1073" s="3066" t="s">
        <v>3560</v>
      </c>
      <c r="L1073" s="3066" t="s">
        <v>6820</v>
      </c>
      <c r="M1073" s="3066" t="s">
        <v>6823</v>
      </c>
      <c r="N1073" s="3066">
        <v>35.6</v>
      </c>
      <c r="O1073" s="3066" t="s">
        <v>3619</v>
      </c>
      <c r="P1073" s="3066" t="s">
        <v>3566</v>
      </c>
      <c r="Q1073" s="3066">
        <v>1</v>
      </c>
      <c r="R1073" s="3066">
        <v>0</v>
      </c>
      <c r="S1073" s="3066" t="s">
        <v>3577</v>
      </c>
      <c r="T1073" s="3066">
        <v>20</v>
      </c>
      <c r="U1073" s="3066">
        <v>712</v>
      </c>
      <c r="V1073" s="3066" t="s">
        <v>3560</v>
      </c>
      <c r="W1073" s="3066" t="s">
        <v>3568</v>
      </c>
      <c r="X1073" s="3066">
        <v>2</v>
      </c>
      <c r="Y1073" s="3066">
        <v>854.4</v>
      </c>
      <c r="Z1073" s="3066" t="s">
        <v>3568</v>
      </c>
      <c r="AA1073" s="3066" t="s">
        <v>3560</v>
      </c>
      <c r="AB1073" s="3066" t="s">
        <v>3584</v>
      </c>
      <c r="AC1073" s="3066" t="s">
        <v>3584</v>
      </c>
      <c r="AD1073" s="3066" t="s">
        <v>3584</v>
      </c>
      <c r="AE1073" s="3066" t="s">
        <v>3560</v>
      </c>
      <c r="AF1073" s="3067">
        <v>712</v>
      </c>
      <c r="AG1073" s="3066">
        <v>0</v>
      </c>
      <c r="AH1073" s="3066">
        <v>71.2</v>
      </c>
      <c r="AI1073" s="3066">
        <v>0</v>
      </c>
      <c r="AJ1073" s="3066">
        <v>5.87</v>
      </c>
      <c r="AK1073" s="3066">
        <v>0</v>
      </c>
      <c r="AL1073" s="3066">
        <v>789.07</v>
      </c>
      <c r="AM1073" s="3066">
        <v>0</v>
      </c>
      <c r="AN1073" s="3066" t="s">
        <v>3560</v>
      </c>
      <c r="AP1073" s="3068">
        <f t="shared" si="16"/>
        <v>20</v>
      </c>
    </row>
    <row r="1074" spans="2:42" ht="27" customHeight="1">
      <c r="B1074" s="3066">
        <v>1211</v>
      </c>
      <c r="C1074" s="3066" t="s">
        <v>5748</v>
      </c>
      <c r="D1074" s="3066" t="s">
        <v>3972</v>
      </c>
      <c r="E1074" s="3066" t="s">
        <v>6824</v>
      </c>
      <c r="F1074" s="3066" t="s">
        <v>3917</v>
      </c>
      <c r="G1074" s="3066" t="s">
        <v>1373</v>
      </c>
      <c r="H1074" s="3066" t="s">
        <v>3560</v>
      </c>
      <c r="I1074" s="3066" t="s">
        <v>6818</v>
      </c>
      <c r="J1074" s="3066" t="s">
        <v>6819</v>
      </c>
      <c r="K1074" s="3066" t="s">
        <v>3560</v>
      </c>
      <c r="L1074" s="3066" t="s">
        <v>6820</v>
      </c>
      <c r="M1074" s="3066" t="s">
        <v>6825</v>
      </c>
      <c r="N1074" s="3066">
        <v>35.6</v>
      </c>
      <c r="O1074" s="3066" t="s">
        <v>3619</v>
      </c>
      <c r="P1074" s="3066" t="s">
        <v>3566</v>
      </c>
      <c r="Q1074" s="3066">
        <v>1</v>
      </c>
      <c r="R1074" s="3066">
        <v>0</v>
      </c>
      <c r="S1074" s="3066" t="s">
        <v>3577</v>
      </c>
      <c r="T1074" s="3066">
        <v>20</v>
      </c>
      <c r="U1074" s="3066">
        <v>712</v>
      </c>
      <c r="V1074" s="3066" t="s">
        <v>3560</v>
      </c>
      <c r="W1074" s="3066" t="s">
        <v>3568</v>
      </c>
      <c r="X1074" s="3066">
        <v>2</v>
      </c>
      <c r="Y1074" s="3066">
        <v>854.4</v>
      </c>
      <c r="Z1074" s="3066" t="s">
        <v>3568</v>
      </c>
      <c r="AA1074" s="3066" t="s">
        <v>3560</v>
      </c>
      <c r="AB1074" s="3066" t="s">
        <v>3584</v>
      </c>
      <c r="AC1074" s="3066" t="s">
        <v>3584</v>
      </c>
      <c r="AD1074" s="3066" t="s">
        <v>3584</v>
      </c>
      <c r="AE1074" s="3066" t="s">
        <v>3560</v>
      </c>
      <c r="AF1074" s="3067">
        <v>712</v>
      </c>
      <c r="AG1074" s="3066">
        <v>0</v>
      </c>
      <c r="AH1074" s="3066">
        <v>71.2</v>
      </c>
      <c r="AI1074" s="3066">
        <v>0</v>
      </c>
      <c r="AJ1074" s="3066">
        <v>93.96</v>
      </c>
      <c r="AK1074" s="3066">
        <v>0</v>
      </c>
      <c r="AL1074" s="3066">
        <v>877.16</v>
      </c>
      <c r="AM1074" s="3066">
        <v>0</v>
      </c>
      <c r="AN1074" s="3066" t="s">
        <v>3560</v>
      </c>
      <c r="AP1074" s="3068">
        <f t="shared" si="16"/>
        <v>20</v>
      </c>
    </row>
    <row r="1075" spans="2:42" ht="27" customHeight="1">
      <c r="B1075" s="3066">
        <v>1212</v>
      </c>
      <c r="C1075" s="3066" t="s">
        <v>5748</v>
      </c>
      <c r="D1075" s="3066" t="s">
        <v>3972</v>
      </c>
      <c r="E1075" s="3066" t="s">
        <v>6826</v>
      </c>
      <c r="F1075" s="3066" t="s">
        <v>3917</v>
      </c>
      <c r="G1075" s="3066" t="s">
        <v>1373</v>
      </c>
      <c r="H1075" s="3066" t="s">
        <v>3560</v>
      </c>
      <c r="I1075" s="3066" t="s">
        <v>6818</v>
      </c>
      <c r="J1075" s="3066" t="s">
        <v>6819</v>
      </c>
      <c r="K1075" s="3066" t="s">
        <v>3560</v>
      </c>
      <c r="L1075" s="3066" t="s">
        <v>6820</v>
      </c>
      <c r="M1075" s="3066" t="s">
        <v>6827</v>
      </c>
      <c r="N1075" s="3066">
        <v>35.6</v>
      </c>
      <c r="O1075" s="3066" t="s">
        <v>3619</v>
      </c>
      <c r="P1075" s="3066" t="s">
        <v>3566</v>
      </c>
      <c r="Q1075" s="3066">
        <v>1</v>
      </c>
      <c r="R1075" s="3066">
        <v>0</v>
      </c>
      <c r="S1075" s="3066" t="s">
        <v>3577</v>
      </c>
      <c r="T1075" s="3066">
        <v>20</v>
      </c>
      <c r="U1075" s="3066">
        <v>712</v>
      </c>
      <c r="V1075" s="3066" t="s">
        <v>3560</v>
      </c>
      <c r="W1075" s="3066" t="s">
        <v>3568</v>
      </c>
      <c r="X1075" s="3066">
        <v>2</v>
      </c>
      <c r="Y1075" s="3066">
        <v>854.4</v>
      </c>
      <c r="Z1075" s="3066" t="s">
        <v>3568</v>
      </c>
      <c r="AA1075" s="3066" t="s">
        <v>3560</v>
      </c>
      <c r="AB1075" s="3066" t="s">
        <v>3584</v>
      </c>
      <c r="AC1075" s="3066" t="s">
        <v>3584</v>
      </c>
      <c r="AD1075" s="3066" t="s">
        <v>3584</v>
      </c>
      <c r="AE1075" s="3066" t="s">
        <v>3560</v>
      </c>
      <c r="AF1075" s="3067">
        <v>712</v>
      </c>
      <c r="AG1075" s="3066">
        <v>0</v>
      </c>
      <c r="AH1075" s="3066">
        <v>71.2</v>
      </c>
      <c r="AI1075" s="3066">
        <v>0</v>
      </c>
      <c r="AJ1075" s="3066">
        <v>115.14</v>
      </c>
      <c r="AK1075" s="3066">
        <v>0</v>
      </c>
      <c r="AL1075" s="3066">
        <v>898.34</v>
      </c>
      <c r="AM1075" s="3066">
        <v>0</v>
      </c>
      <c r="AN1075" s="3066" t="s">
        <v>3560</v>
      </c>
      <c r="AP1075" s="3068">
        <f t="shared" si="16"/>
        <v>20</v>
      </c>
    </row>
    <row r="1076" spans="2:42" ht="27" customHeight="1">
      <c r="B1076" s="3066">
        <v>1213</v>
      </c>
      <c r="C1076" s="3066" t="s">
        <v>5748</v>
      </c>
      <c r="D1076" s="3066" t="s">
        <v>3972</v>
      </c>
      <c r="E1076" s="3066" t="s">
        <v>6828</v>
      </c>
      <c r="F1076" s="3066" t="s">
        <v>3917</v>
      </c>
      <c r="G1076" s="3066" t="s">
        <v>1373</v>
      </c>
      <c r="H1076" s="3066" t="s">
        <v>3560</v>
      </c>
      <c r="I1076" s="3066" t="s">
        <v>6818</v>
      </c>
      <c r="J1076" s="3066" t="s">
        <v>6819</v>
      </c>
      <c r="K1076" s="3066" t="s">
        <v>3560</v>
      </c>
      <c r="L1076" s="3066" t="s">
        <v>6820</v>
      </c>
      <c r="M1076" s="3066" t="s">
        <v>6829</v>
      </c>
      <c r="N1076" s="3066">
        <v>35.6</v>
      </c>
      <c r="O1076" s="3066" t="s">
        <v>3619</v>
      </c>
      <c r="P1076" s="3066" t="s">
        <v>3566</v>
      </c>
      <c r="Q1076" s="3066">
        <v>1</v>
      </c>
      <c r="R1076" s="3066">
        <v>0</v>
      </c>
      <c r="S1076" s="3066" t="s">
        <v>3577</v>
      </c>
      <c r="T1076" s="3066">
        <v>20</v>
      </c>
      <c r="U1076" s="3066">
        <v>712</v>
      </c>
      <c r="V1076" s="3066" t="s">
        <v>3560</v>
      </c>
      <c r="W1076" s="3066" t="s">
        <v>3568</v>
      </c>
      <c r="X1076" s="3066">
        <v>2</v>
      </c>
      <c r="Y1076" s="3066">
        <v>854.4</v>
      </c>
      <c r="Z1076" s="3066" t="s">
        <v>3568</v>
      </c>
      <c r="AA1076" s="3066" t="s">
        <v>3560</v>
      </c>
      <c r="AB1076" s="3066" t="s">
        <v>3584</v>
      </c>
      <c r="AC1076" s="3066" t="s">
        <v>3584</v>
      </c>
      <c r="AD1076" s="3066" t="s">
        <v>3584</v>
      </c>
      <c r="AE1076" s="3066" t="s">
        <v>3560</v>
      </c>
      <c r="AF1076" s="3067">
        <v>712</v>
      </c>
      <c r="AG1076" s="3066">
        <v>0</v>
      </c>
      <c r="AH1076" s="3066">
        <v>71.2</v>
      </c>
      <c r="AI1076" s="3066">
        <v>0</v>
      </c>
      <c r="AJ1076" s="3066">
        <v>108</v>
      </c>
      <c r="AK1076" s="3066">
        <v>0</v>
      </c>
      <c r="AL1076" s="3066">
        <v>891.2</v>
      </c>
      <c r="AM1076" s="3066">
        <v>0</v>
      </c>
      <c r="AN1076" s="3066" t="s">
        <v>3560</v>
      </c>
      <c r="AP1076" s="3068">
        <f t="shared" si="16"/>
        <v>20</v>
      </c>
    </row>
    <row r="1077" spans="2:42" ht="27" customHeight="1">
      <c r="B1077" s="3066">
        <v>1214</v>
      </c>
      <c r="C1077" s="3066" t="s">
        <v>5748</v>
      </c>
      <c r="D1077" s="3066" t="s">
        <v>3972</v>
      </c>
      <c r="E1077" s="3066" t="s">
        <v>6830</v>
      </c>
      <c r="F1077" s="3066" t="s">
        <v>3917</v>
      </c>
      <c r="G1077" s="3066" t="s">
        <v>1373</v>
      </c>
      <c r="H1077" s="3066" t="s">
        <v>3560</v>
      </c>
      <c r="I1077" s="3066" t="s">
        <v>6818</v>
      </c>
      <c r="J1077" s="3066" t="s">
        <v>6819</v>
      </c>
      <c r="K1077" s="3066" t="s">
        <v>3560</v>
      </c>
      <c r="L1077" s="3066" t="s">
        <v>6820</v>
      </c>
      <c r="M1077" s="3066" t="s">
        <v>6831</v>
      </c>
      <c r="N1077" s="3066">
        <v>35.6</v>
      </c>
      <c r="O1077" s="3066" t="s">
        <v>3619</v>
      </c>
      <c r="P1077" s="3066" t="s">
        <v>3566</v>
      </c>
      <c r="Q1077" s="3066">
        <v>1</v>
      </c>
      <c r="R1077" s="3066">
        <v>0</v>
      </c>
      <c r="S1077" s="3066" t="s">
        <v>3577</v>
      </c>
      <c r="T1077" s="3066">
        <v>20</v>
      </c>
      <c r="U1077" s="3066">
        <v>712</v>
      </c>
      <c r="V1077" s="3066" t="s">
        <v>3560</v>
      </c>
      <c r="W1077" s="3066" t="s">
        <v>3568</v>
      </c>
      <c r="X1077" s="3066">
        <v>2</v>
      </c>
      <c r="Y1077" s="3066">
        <v>854.4</v>
      </c>
      <c r="Z1077" s="3066" t="s">
        <v>3568</v>
      </c>
      <c r="AA1077" s="3066" t="s">
        <v>3560</v>
      </c>
      <c r="AB1077" s="3066" t="s">
        <v>3584</v>
      </c>
      <c r="AC1077" s="3066" t="s">
        <v>3584</v>
      </c>
      <c r="AD1077" s="3066" t="s">
        <v>3584</v>
      </c>
      <c r="AE1077" s="3066" t="s">
        <v>3560</v>
      </c>
      <c r="AF1077" s="3067">
        <v>712</v>
      </c>
      <c r="AG1077" s="3066">
        <v>0</v>
      </c>
      <c r="AH1077" s="3066">
        <v>71.2</v>
      </c>
      <c r="AI1077" s="3066">
        <v>0</v>
      </c>
      <c r="AJ1077" s="3066">
        <v>67.91</v>
      </c>
      <c r="AK1077" s="3066">
        <v>0</v>
      </c>
      <c r="AL1077" s="3066">
        <v>851.11</v>
      </c>
      <c r="AM1077" s="3066">
        <v>0</v>
      </c>
      <c r="AN1077" s="3066" t="s">
        <v>3560</v>
      </c>
      <c r="AP1077" s="3068">
        <f t="shared" si="16"/>
        <v>20</v>
      </c>
    </row>
    <row r="1078" spans="2:42" ht="27" customHeight="1">
      <c r="B1078" s="3066">
        <v>1215</v>
      </c>
      <c r="C1078" s="3066" t="s">
        <v>5748</v>
      </c>
      <c r="D1078" s="3066" t="s">
        <v>3972</v>
      </c>
      <c r="E1078" s="3066" t="s">
        <v>6832</v>
      </c>
      <c r="F1078" s="3066" t="s">
        <v>3917</v>
      </c>
      <c r="G1078" s="3066" t="s">
        <v>1373</v>
      </c>
      <c r="H1078" s="3066" t="s">
        <v>3560</v>
      </c>
      <c r="I1078" s="3066" t="s">
        <v>6818</v>
      </c>
      <c r="J1078" s="3066" t="s">
        <v>6819</v>
      </c>
      <c r="K1078" s="3066" t="s">
        <v>3560</v>
      </c>
      <c r="L1078" s="3066" t="s">
        <v>6820</v>
      </c>
      <c r="M1078" s="3066" t="s">
        <v>6833</v>
      </c>
      <c r="N1078" s="3066">
        <v>35.6</v>
      </c>
      <c r="O1078" s="3066" t="s">
        <v>3619</v>
      </c>
      <c r="P1078" s="3066" t="s">
        <v>3566</v>
      </c>
      <c r="Q1078" s="3066">
        <v>1</v>
      </c>
      <c r="R1078" s="3066">
        <v>0</v>
      </c>
      <c r="S1078" s="3066" t="s">
        <v>3577</v>
      </c>
      <c r="T1078" s="3066">
        <v>20</v>
      </c>
      <c r="U1078" s="3066">
        <v>712</v>
      </c>
      <c r="V1078" s="3066" t="s">
        <v>3560</v>
      </c>
      <c r="W1078" s="3066" t="s">
        <v>3568</v>
      </c>
      <c r="X1078" s="3066">
        <v>2</v>
      </c>
      <c r="Y1078" s="3066">
        <v>854.4</v>
      </c>
      <c r="Z1078" s="3066" t="s">
        <v>3568</v>
      </c>
      <c r="AA1078" s="3066" t="s">
        <v>3560</v>
      </c>
      <c r="AB1078" s="3066" t="s">
        <v>3584</v>
      </c>
      <c r="AC1078" s="3066" t="s">
        <v>3584</v>
      </c>
      <c r="AD1078" s="3066" t="s">
        <v>3584</v>
      </c>
      <c r="AE1078" s="3066" t="s">
        <v>3560</v>
      </c>
      <c r="AF1078" s="3067">
        <v>712</v>
      </c>
      <c r="AG1078" s="3066">
        <v>0</v>
      </c>
      <c r="AH1078" s="3066">
        <v>71.2</v>
      </c>
      <c r="AI1078" s="3066">
        <v>0</v>
      </c>
      <c r="AJ1078" s="3066">
        <v>123.96</v>
      </c>
      <c r="AK1078" s="3066">
        <v>0</v>
      </c>
      <c r="AL1078" s="3066">
        <v>907.16</v>
      </c>
      <c r="AM1078" s="3066">
        <v>0</v>
      </c>
      <c r="AN1078" s="3066" t="s">
        <v>3560</v>
      </c>
      <c r="AP1078" s="3068">
        <f t="shared" si="16"/>
        <v>20</v>
      </c>
    </row>
    <row r="1079" spans="2:42" ht="27" customHeight="1">
      <c r="B1079" s="3066">
        <v>1216</v>
      </c>
      <c r="C1079" s="3066" t="s">
        <v>5748</v>
      </c>
      <c r="D1079" s="3066" t="s">
        <v>3972</v>
      </c>
      <c r="E1079" s="3066" t="s">
        <v>6834</v>
      </c>
      <c r="F1079" s="3066" t="s">
        <v>3917</v>
      </c>
      <c r="G1079" s="3066" t="s">
        <v>1373</v>
      </c>
      <c r="H1079" s="3066" t="s">
        <v>3560</v>
      </c>
      <c r="I1079" s="3066" t="s">
        <v>3598</v>
      </c>
      <c r="J1079" s="3066" t="s">
        <v>3599</v>
      </c>
      <c r="K1079" s="3066" t="s">
        <v>3560</v>
      </c>
      <c r="L1079" s="3066" t="s">
        <v>3600</v>
      </c>
      <c r="M1079" s="3066" t="s">
        <v>6835</v>
      </c>
      <c r="N1079" s="3066">
        <v>35.6</v>
      </c>
      <c r="O1079" s="3066" t="s">
        <v>6836</v>
      </c>
      <c r="P1079" s="3066" t="s">
        <v>3566</v>
      </c>
      <c r="Q1079" s="3066">
        <v>1</v>
      </c>
      <c r="R1079" s="3066">
        <v>2349.6</v>
      </c>
      <c r="S1079" s="3066" t="s">
        <v>3567</v>
      </c>
      <c r="T1079" s="3066">
        <v>20</v>
      </c>
      <c r="U1079" s="3066">
        <v>712</v>
      </c>
      <c r="V1079" s="3066" t="s">
        <v>3560</v>
      </c>
      <c r="W1079" s="3066" t="s">
        <v>3568</v>
      </c>
      <c r="X1079" s="3066">
        <v>2</v>
      </c>
      <c r="Y1079" s="3066">
        <v>854.4</v>
      </c>
      <c r="Z1079" s="3066" t="s">
        <v>3568</v>
      </c>
      <c r="AA1079" s="3066" t="s">
        <v>3560</v>
      </c>
      <c r="AB1079" s="3066" t="s">
        <v>6837</v>
      </c>
      <c r="AC1079" s="3066" t="s">
        <v>6837</v>
      </c>
      <c r="AD1079" s="3066" t="s">
        <v>6837</v>
      </c>
      <c r="AE1079" s="3066" t="s">
        <v>3560</v>
      </c>
      <c r="AF1079" s="3067">
        <v>712</v>
      </c>
      <c r="AG1079" s="3066">
        <v>0</v>
      </c>
      <c r="AH1079" s="3066">
        <v>71.2</v>
      </c>
      <c r="AI1079" s="3066">
        <v>0</v>
      </c>
      <c r="AJ1079" s="3066">
        <v>57.82</v>
      </c>
      <c r="AK1079" s="3066">
        <v>0</v>
      </c>
      <c r="AL1079" s="3066">
        <v>841.02</v>
      </c>
      <c r="AM1079" s="3066">
        <v>0</v>
      </c>
      <c r="AN1079" s="3066" t="s">
        <v>3560</v>
      </c>
      <c r="AP1079" s="3068">
        <f t="shared" si="16"/>
        <v>20</v>
      </c>
    </row>
    <row r="1080" spans="2:42" ht="27" customHeight="1">
      <c r="B1080" s="3066">
        <v>1217</v>
      </c>
      <c r="C1080" s="3066" t="s">
        <v>5748</v>
      </c>
      <c r="D1080" s="3066" t="s">
        <v>3972</v>
      </c>
      <c r="E1080" s="3066" t="s">
        <v>6838</v>
      </c>
      <c r="F1080" s="3066" t="s">
        <v>3917</v>
      </c>
      <c r="G1080" s="3066" t="s">
        <v>1373</v>
      </c>
      <c r="H1080" s="3066" t="s">
        <v>3560</v>
      </c>
      <c r="I1080" s="3066" t="s">
        <v>3800</v>
      </c>
      <c r="J1080" s="3066" t="s">
        <v>3801</v>
      </c>
      <c r="K1080" s="3066" t="s">
        <v>3560</v>
      </c>
      <c r="L1080" s="3066" t="s">
        <v>3802</v>
      </c>
      <c r="M1080" s="3066" t="s">
        <v>6839</v>
      </c>
      <c r="N1080" s="3066">
        <v>35.6</v>
      </c>
      <c r="O1080" s="3066" t="s">
        <v>3744</v>
      </c>
      <c r="P1080" s="3066" t="s">
        <v>3566</v>
      </c>
      <c r="Q1080" s="3066">
        <v>1</v>
      </c>
      <c r="R1080" s="3066">
        <v>4699.2</v>
      </c>
      <c r="S1080" s="3066" t="s">
        <v>3567</v>
      </c>
      <c r="T1080" s="3066">
        <v>20</v>
      </c>
      <c r="U1080" s="3066">
        <v>712</v>
      </c>
      <c r="V1080" s="3066" t="s">
        <v>3560</v>
      </c>
      <c r="W1080" s="3066" t="s">
        <v>3568</v>
      </c>
      <c r="X1080" s="3066">
        <v>2</v>
      </c>
      <c r="Y1080" s="3066">
        <v>854.4</v>
      </c>
      <c r="Z1080" s="3066" t="s">
        <v>3568</v>
      </c>
      <c r="AA1080" s="3066" t="s">
        <v>3560</v>
      </c>
      <c r="AB1080" s="3066" t="s">
        <v>3746</v>
      </c>
      <c r="AC1080" s="3066" t="s">
        <v>3746</v>
      </c>
      <c r="AD1080" s="3066" t="s">
        <v>3746</v>
      </c>
      <c r="AE1080" s="3066" t="s">
        <v>3560</v>
      </c>
      <c r="AF1080" s="3067">
        <v>712</v>
      </c>
      <c r="AG1080" s="3066">
        <v>0</v>
      </c>
      <c r="AH1080" s="3066">
        <v>71.2</v>
      </c>
      <c r="AI1080" s="3066">
        <v>0</v>
      </c>
      <c r="AJ1080" s="3066">
        <v>32.08</v>
      </c>
      <c r="AK1080" s="3066">
        <v>0</v>
      </c>
      <c r="AL1080" s="3066">
        <v>815.28</v>
      </c>
      <c r="AM1080" s="3066">
        <v>0</v>
      </c>
      <c r="AN1080" s="3066" t="s">
        <v>3560</v>
      </c>
      <c r="AP1080" s="3068">
        <f t="shared" si="16"/>
        <v>20</v>
      </c>
    </row>
    <row r="1081" spans="2:42" ht="27" customHeight="1">
      <c r="B1081" s="3066">
        <v>1218</v>
      </c>
      <c r="C1081" s="3066" t="s">
        <v>5748</v>
      </c>
      <c r="D1081" s="3066" t="s">
        <v>3972</v>
      </c>
      <c r="E1081" s="3066" t="s">
        <v>6840</v>
      </c>
      <c r="F1081" s="3066" t="s">
        <v>3917</v>
      </c>
      <c r="G1081" s="3066" t="s">
        <v>1373</v>
      </c>
      <c r="H1081" s="3066" t="s">
        <v>3560</v>
      </c>
      <c r="I1081" s="3066" t="s">
        <v>3800</v>
      </c>
      <c r="J1081" s="3066" t="s">
        <v>3801</v>
      </c>
      <c r="K1081" s="3066" t="s">
        <v>3560</v>
      </c>
      <c r="L1081" s="3066" t="s">
        <v>3802</v>
      </c>
      <c r="M1081" s="3066" t="s">
        <v>6841</v>
      </c>
      <c r="N1081" s="3066">
        <v>35.6</v>
      </c>
      <c r="O1081" s="3066" t="s">
        <v>3744</v>
      </c>
      <c r="P1081" s="3066" t="s">
        <v>3566</v>
      </c>
      <c r="Q1081" s="3066">
        <v>1</v>
      </c>
      <c r="R1081" s="3066">
        <v>0</v>
      </c>
      <c r="S1081" s="3066" t="s">
        <v>3577</v>
      </c>
      <c r="T1081" s="3066">
        <v>20</v>
      </c>
      <c r="U1081" s="3066">
        <v>712</v>
      </c>
      <c r="V1081" s="3066" t="s">
        <v>3560</v>
      </c>
      <c r="W1081" s="3066" t="s">
        <v>3568</v>
      </c>
      <c r="X1081" s="3066">
        <v>2</v>
      </c>
      <c r="Y1081" s="3066">
        <v>854.4</v>
      </c>
      <c r="Z1081" s="3066" t="s">
        <v>3568</v>
      </c>
      <c r="AA1081" s="3066" t="s">
        <v>3560</v>
      </c>
      <c r="AB1081" s="3066" t="s">
        <v>3746</v>
      </c>
      <c r="AC1081" s="3066" t="s">
        <v>3746</v>
      </c>
      <c r="AD1081" s="3066" t="s">
        <v>3746</v>
      </c>
      <c r="AE1081" s="3066" t="s">
        <v>3560</v>
      </c>
      <c r="AF1081" s="3067">
        <v>712</v>
      </c>
      <c r="AG1081" s="3066">
        <v>0</v>
      </c>
      <c r="AH1081" s="3066">
        <v>71.2</v>
      </c>
      <c r="AI1081" s="3066">
        <v>0</v>
      </c>
      <c r="AJ1081" s="3066">
        <v>262.83</v>
      </c>
      <c r="AK1081" s="3066">
        <v>0</v>
      </c>
      <c r="AL1081" s="3066">
        <v>1046.03</v>
      </c>
      <c r="AM1081" s="3066">
        <v>0</v>
      </c>
      <c r="AN1081" s="3066" t="s">
        <v>3560</v>
      </c>
      <c r="AP1081" s="3068">
        <f t="shared" si="16"/>
        <v>20</v>
      </c>
    </row>
    <row r="1082" spans="2:42" ht="27" customHeight="1">
      <c r="B1082" s="3066">
        <v>1219</v>
      </c>
      <c r="C1082" s="3066" t="s">
        <v>5748</v>
      </c>
      <c r="D1082" s="3066" t="s">
        <v>3972</v>
      </c>
      <c r="E1082" s="3066" t="s">
        <v>6842</v>
      </c>
      <c r="F1082" s="3066" t="s">
        <v>3917</v>
      </c>
      <c r="G1082" s="3066" t="s">
        <v>3560</v>
      </c>
      <c r="H1082" s="3066" t="s">
        <v>3560</v>
      </c>
      <c r="I1082" s="3066" t="s">
        <v>6843</v>
      </c>
      <c r="J1082" s="3066" t="s">
        <v>6843</v>
      </c>
      <c r="K1082" s="3066" t="s">
        <v>3560</v>
      </c>
      <c r="L1082" s="3066" t="s">
        <v>6844</v>
      </c>
      <c r="M1082" s="3066" t="s">
        <v>6845</v>
      </c>
      <c r="N1082" s="3066">
        <v>35.6</v>
      </c>
      <c r="O1082" s="3066" t="s">
        <v>6846</v>
      </c>
      <c r="P1082" s="3066" t="s">
        <v>3566</v>
      </c>
      <c r="Q1082" s="3066">
        <v>1</v>
      </c>
      <c r="R1082" s="3066">
        <v>2380</v>
      </c>
      <c r="S1082" s="3066" t="s">
        <v>3567</v>
      </c>
      <c r="T1082" s="3066">
        <v>20</v>
      </c>
      <c r="U1082" s="3066">
        <v>712</v>
      </c>
      <c r="V1082" s="3066" t="s">
        <v>3560</v>
      </c>
      <c r="W1082" s="3066" t="s">
        <v>3568</v>
      </c>
      <c r="X1082" s="3066">
        <v>2.2799999999999998</v>
      </c>
      <c r="Y1082" s="3066">
        <v>974.4</v>
      </c>
      <c r="Z1082" s="3066" t="s">
        <v>3568</v>
      </c>
      <c r="AA1082" s="3066" t="s">
        <v>3560</v>
      </c>
      <c r="AB1082" s="3066" t="s">
        <v>6847</v>
      </c>
      <c r="AC1082" s="3066" t="s">
        <v>6847</v>
      </c>
      <c r="AD1082" s="3066" t="s">
        <v>6847</v>
      </c>
      <c r="AE1082" s="3066" t="s">
        <v>3560</v>
      </c>
      <c r="AF1082" s="3067">
        <v>712</v>
      </c>
      <c r="AG1082" s="3066">
        <v>712</v>
      </c>
      <c r="AH1082" s="3066">
        <v>81.2</v>
      </c>
      <c r="AI1082" s="3066">
        <v>81.2</v>
      </c>
      <c r="AJ1082" s="3066">
        <v>8.33</v>
      </c>
      <c r="AK1082" s="3066">
        <v>8.33</v>
      </c>
      <c r="AL1082" s="3066">
        <v>801.53</v>
      </c>
      <c r="AM1082" s="3066">
        <v>801.53</v>
      </c>
      <c r="AN1082" s="3066" t="s">
        <v>3560</v>
      </c>
      <c r="AP1082" s="3068">
        <f t="shared" si="16"/>
        <v>20</v>
      </c>
    </row>
    <row r="1083" spans="2:42" ht="27" customHeight="1">
      <c r="B1083" s="3066">
        <v>1220</v>
      </c>
      <c r="C1083" s="3066" t="s">
        <v>5748</v>
      </c>
      <c r="D1083" s="3066" t="s">
        <v>3972</v>
      </c>
      <c r="E1083" s="3066" t="s">
        <v>6848</v>
      </c>
      <c r="F1083" s="3066" t="s">
        <v>3917</v>
      </c>
      <c r="G1083" s="3066" t="s">
        <v>1373</v>
      </c>
      <c r="H1083" s="3066" t="s">
        <v>3560</v>
      </c>
      <c r="I1083" s="3066" t="s">
        <v>3732</v>
      </c>
      <c r="J1083" s="3066" t="s">
        <v>3695</v>
      </c>
      <c r="K1083" s="3066" t="s">
        <v>3560</v>
      </c>
      <c r="L1083" s="3066" t="s">
        <v>3696</v>
      </c>
      <c r="M1083" s="3066" t="s">
        <v>6849</v>
      </c>
      <c r="N1083" s="3066">
        <v>39.700000000000003</v>
      </c>
      <c r="O1083" s="3066" t="s">
        <v>6101</v>
      </c>
      <c r="P1083" s="3066" t="s">
        <v>3566</v>
      </c>
      <c r="Q1083" s="3066">
        <v>1</v>
      </c>
      <c r="R1083" s="3066">
        <v>2620.1999999999998</v>
      </c>
      <c r="S1083" s="3066" t="s">
        <v>3567</v>
      </c>
      <c r="T1083" s="3066">
        <v>20</v>
      </c>
      <c r="U1083" s="3066">
        <v>794</v>
      </c>
      <c r="V1083" s="3066" t="s">
        <v>3560</v>
      </c>
      <c r="W1083" s="3066" t="s">
        <v>3568</v>
      </c>
      <c r="X1083" s="3066">
        <v>2</v>
      </c>
      <c r="Y1083" s="3066">
        <v>952.8</v>
      </c>
      <c r="Z1083" s="3066" t="s">
        <v>3568</v>
      </c>
      <c r="AA1083" s="3066" t="s">
        <v>3560</v>
      </c>
      <c r="AB1083" s="3066" t="s">
        <v>4087</v>
      </c>
      <c r="AC1083" s="3066" t="s">
        <v>4087</v>
      </c>
      <c r="AD1083" s="3066" t="s">
        <v>4087</v>
      </c>
      <c r="AE1083" s="3066" t="s">
        <v>3560</v>
      </c>
      <c r="AF1083" s="3067">
        <v>794</v>
      </c>
      <c r="AG1083" s="3066">
        <v>794</v>
      </c>
      <c r="AH1083" s="3066">
        <v>79.400000000000006</v>
      </c>
      <c r="AI1083" s="3066">
        <v>79.400000000000006</v>
      </c>
      <c r="AJ1083" s="3066">
        <v>206.98</v>
      </c>
      <c r="AK1083" s="3066">
        <v>206.98</v>
      </c>
      <c r="AL1083" s="3066">
        <v>1080.3800000000001</v>
      </c>
      <c r="AM1083" s="3066">
        <v>1080.3800000000001</v>
      </c>
      <c r="AN1083" s="3066" t="s">
        <v>3560</v>
      </c>
      <c r="AP1083" s="3068">
        <f t="shared" ref="AP1083:AP1144" si="17">AF1083/N1083</f>
        <v>20</v>
      </c>
    </row>
    <row r="1084" spans="2:42" ht="27" customHeight="1">
      <c r="B1084" s="3066">
        <v>1221</v>
      </c>
      <c r="C1084" s="3066" t="s">
        <v>5748</v>
      </c>
      <c r="D1084" s="3066" t="s">
        <v>3972</v>
      </c>
      <c r="E1084" s="3066" t="s">
        <v>6850</v>
      </c>
      <c r="F1084" s="3066" t="s">
        <v>3917</v>
      </c>
      <c r="G1084" s="3066" t="s">
        <v>3560</v>
      </c>
      <c r="H1084" s="3066" t="s">
        <v>3560</v>
      </c>
      <c r="I1084" s="3066" t="s">
        <v>3560</v>
      </c>
      <c r="J1084" s="3066" t="s">
        <v>3560</v>
      </c>
      <c r="K1084" s="3066" t="s">
        <v>3560</v>
      </c>
      <c r="L1084" s="3066" t="s">
        <v>3560</v>
      </c>
      <c r="M1084" s="3066" t="s">
        <v>6851</v>
      </c>
      <c r="N1084" s="3066">
        <v>12</v>
      </c>
      <c r="O1084" s="3066" t="s">
        <v>3560</v>
      </c>
      <c r="P1084" s="3066" t="s">
        <v>3560</v>
      </c>
      <c r="Q1084" s="3066">
        <v>0</v>
      </c>
      <c r="R1084" s="3066">
        <v>0</v>
      </c>
      <c r="S1084" s="3066" t="s">
        <v>3577</v>
      </c>
      <c r="T1084" s="3066">
        <v>0</v>
      </c>
      <c r="U1084" s="3066">
        <v>0</v>
      </c>
      <c r="V1084" s="3066" t="s">
        <v>3560</v>
      </c>
      <c r="W1084" s="3066" t="s">
        <v>3568</v>
      </c>
      <c r="X1084" s="3066">
        <v>0</v>
      </c>
      <c r="Y1084" s="3066">
        <v>0</v>
      </c>
      <c r="Z1084" s="3066" t="s">
        <v>3568</v>
      </c>
      <c r="AA1084" s="3066" t="s">
        <v>3560</v>
      </c>
      <c r="AB1084" s="3066" t="s">
        <v>3560</v>
      </c>
      <c r="AC1084" s="3066" t="s">
        <v>3560</v>
      </c>
      <c r="AD1084" s="3066" t="s">
        <v>3560</v>
      </c>
      <c r="AE1084" s="3066" t="s">
        <v>3560</v>
      </c>
      <c r="AF1084" s="3067">
        <v>0</v>
      </c>
      <c r="AG1084" s="3066">
        <v>0</v>
      </c>
      <c r="AH1084" s="3066">
        <v>0</v>
      </c>
      <c r="AI1084" s="3066">
        <v>0</v>
      </c>
      <c r="AJ1084" s="3066">
        <v>0</v>
      </c>
      <c r="AK1084" s="3066">
        <v>0</v>
      </c>
      <c r="AL1084" s="3066">
        <v>0</v>
      </c>
      <c r="AM1084" s="3066">
        <v>0</v>
      </c>
      <c r="AN1084" s="3066" t="s">
        <v>3560</v>
      </c>
      <c r="AP1084" s="3068">
        <f t="shared" si="17"/>
        <v>0</v>
      </c>
    </row>
    <row r="1085" spans="2:42" ht="27" customHeight="1">
      <c r="B1085" s="3066">
        <v>1222</v>
      </c>
      <c r="C1085" s="3066" t="s">
        <v>3214</v>
      </c>
      <c r="D1085" s="3066" t="s">
        <v>4053</v>
      </c>
      <c r="E1085" s="3066" t="s">
        <v>6852</v>
      </c>
      <c r="F1085" s="3066" t="s">
        <v>3917</v>
      </c>
      <c r="G1085" s="3066" t="s">
        <v>3560</v>
      </c>
      <c r="H1085" s="3066" t="s">
        <v>3560</v>
      </c>
      <c r="I1085" s="3066" t="s">
        <v>3560</v>
      </c>
      <c r="J1085" s="3066" t="s">
        <v>3560</v>
      </c>
      <c r="K1085" s="3066" t="s">
        <v>3560</v>
      </c>
      <c r="L1085" s="3066" t="s">
        <v>3560</v>
      </c>
      <c r="M1085" s="3066" t="s">
        <v>6853</v>
      </c>
      <c r="N1085" s="3066">
        <v>12</v>
      </c>
      <c r="O1085" s="3066" t="s">
        <v>3560</v>
      </c>
      <c r="P1085" s="3066" t="s">
        <v>3560</v>
      </c>
      <c r="Q1085" s="3066">
        <v>0</v>
      </c>
      <c r="R1085" s="3066">
        <v>0</v>
      </c>
      <c r="S1085" s="3066" t="s">
        <v>3577</v>
      </c>
      <c r="T1085" s="3066">
        <v>0</v>
      </c>
      <c r="U1085" s="3066">
        <v>0</v>
      </c>
      <c r="V1085" s="3066" t="s">
        <v>3560</v>
      </c>
      <c r="W1085" s="3066" t="s">
        <v>3568</v>
      </c>
      <c r="X1085" s="3066">
        <v>0</v>
      </c>
      <c r="Y1085" s="3066">
        <v>0</v>
      </c>
      <c r="Z1085" s="3066" t="s">
        <v>3568</v>
      </c>
      <c r="AA1085" s="3066" t="s">
        <v>3560</v>
      </c>
      <c r="AB1085" s="3066" t="s">
        <v>3560</v>
      </c>
      <c r="AC1085" s="3066" t="s">
        <v>3560</v>
      </c>
      <c r="AD1085" s="3066" t="s">
        <v>3560</v>
      </c>
      <c r="AE1085" s="3066" t="s">
        <v>3560</v>
      </c>
      <c r="AF1085" s="3067">
        <v>0</v>
      </c>
      <c r="AG1085" s="3066">
        <v>0</v>
      </c>
      <c r="AH1085" s="3066">
        <v>0</v>
      </c>
      <c r="AI1085" s="3066">
        <v>0</v>
      </c>
      <c r="AJ1085" s="3066">
        <v>0</v>
      </c>
      <c r="AK1085" s="3066">
        <v>0</v>
      </c>
      <c r="AL1085" s="3066">
        <v>0</v>
      </c>
      <c r="AM1085" s="3066">
        <v>0</v>
      </c>
      <c r="AN1085" s="3066" t="s">
        <v>3560</v>
      </c>
      <c r="AP1085" s="3068">
        <f t="shared" si="17"/>
        <v>0</v>
      </c>
    </row>
    <row r="1086" spans="2:42" ht="27" customHeight="1">
      <c r="B1086" s="3066">
        <v>1223</v>
      </c>
      <c r="C1086" s="3066" t="s">
        <v>3106</v>
      </c>
      <c r="D1086" s="3066" t="s">
        <v>3560</v>
      </c>
      <c r="E1086" s="3066" t="s">
        <v>6854</v>
      </c>
      <c r="F1086" s="3066" t="s">
        <v>3559</v>
      </c>
      <c r="G1086" s="3066" t="s">
        <v>1373</v>
      </c>
      <c r="H1086" s="3066" t="s">
        <v>3560</v>
      </c>
      <c r="I1086" s="3066" t="s">
        <v>3903</v>
      </c>
      <c r="J1086" s="3066" t="s">
        <v>3904</v>
      </c>
      <c r="K1086" s="3066" t="s">
        <v>3560</v>
      </c>
      <c r="L1086" s="3066" t="s">
        <v>3905</v>
      </c>
      <c r="M1086" s="3066" t="s">
        <v>6855</v>
      </c>
      <c r="N1086" s="3066">
        <v>200</v>
      </c>
      <c r="O1086" s="3066" t="s">
        <v>3583</v>
      </c>
      <c r="P1086" s="3066" t="s">
        <v>3566</v>
      </c>
      <c r="Q1086" s="3066">
        <v>0</v>
      </c>
      <c r="R1086" s="3066">
        <v>12000</v>
      </c>
      <c r="S1086" s="3066" t="s">
        <v>3567</v>
      </c>
      <c r="T1086" s="3066">
        <v>27.5</v>
      </c>
      <c r="U1086" s="3066">
        <v>5500</v>
      </c>
      <c r="V1086" s="3066" t="s">
        <v>3560</v>
      </c>
      <c r="W1086" s="3066" t="s">
        <v>3568</v>
      </c>
      <c r="X1086" s="3066">
        <v>2.5</v>
      </c>
      <c r="Y1086" s="3066">
        <v>6000</v>
      </c>
      <c r="Z1086" s="3066" t="s">
        <v>3568</v>
      </c>
      <c r="AA1086" s="3066" t="s">
        <v>3560</v>
      </c>
      <c r="AB1086" s="3066" t="s">
        <v>3584</v>
      </c>
      <c r="AC1086" s="3066" t="s">
        <v>3584</v>
      </c>
      <c r="AD1086" s="3066" t="s">
        <v>3584</v>
      </c>
      <c r="AE1086" s="3066" t="s">
        <v>3560</v>
      </c>
      <c r="AF1086" s="3067">
        <v>5500</v>
      </c>
      <c r="AG1086" s="3066">
        <v>5500</v>
      </c>
      <c r="AH1086" s="3066">
        <v>500</v>
      </c>
      <c r="AI1086" s="3066">
        <v>500</v>
      </c>
      <c r="AJ1086" s="3066">
        <v>434.16</v>
      </c>
      <c r="AK1086" s="3066">
        <v>434.16</v>
      </c>
      <c r="AL1086" s="3066">
        <v>6434.16</v>
      </c>
      <c r="AM1086" s="3066">
        <v>6434.16</v>
      </c>
      <c r="AN1086" s="3066" t="s">
        <v>3560</v>
      </c>
      <c r="AP1086" s="3068">
        <f t="shared" si="17"/>
        <v>27.5</v>
      </c>
    </row>
    <row r="1087" spans="2:42" ht="27" customHeight="1">
      <c r="B1087" s="3066">
        <v>1224</v>
      </c>
      <c r="C1087" s="3066" t="s">
        <v>3106</v>
      </c>
      <c r="D1087" s="3066" t="s">
        <v>3560</v>
      </c>
      <c r="E1087" s="3066" t="s">
        <v>6856</v>
      </c>
      <c r="F1087" s="3066" t="s">
        <v>3559</v>
      </c>
      <c r="G1087" s="3066" t="s">
        <v>3560</v>
      </c>
      <c r="H1087" s="3066" t="s">
        <v>3560</v>
      </c>
      <c r="I1087" s="3066" t="s">
        <v>3560</v>
      </c>
      <c r="J1087" s="3066" t="s">
        <v>3560</v>
      </c>
      <c r="K1087" s="3066" t="s">
        <v>3560</v>
      </c>
      <c r="L1087" s="3066" t="s">
        <v>3560</v>
      </c>
      <c r="M1087" s="3066" t="s">
        <v>6857</v>
      </c>
      <c r="N1087" s="3066">
        <v>1068.5999999999999</v>
      </c>
      <c r="O1087" s="3066" t="s">
        <v>3560</v>
      </c>
      <c r="P1087" s="3066" t="s">
        <v>3560</v>
      </c>
      <c r="Q1087" s="3066">
        <v>0</v>
      </c>
      <c r="R1087" s="3066">
        <v>0</v>
      </c>
      <c r="S1087" s="3066" t="s">
        <v>3577</v>
      </c>
      <c r="T1087" s="3066">
        <v>0</v>
      </c>
      <c r="U1087" s="3066">
        <v>0</v>
      </c>
      <c r="V1087" s="3066" t="s">
        <v>3560</v>
      </c>
      <c r="W1087" s="3066" t="s">
        <v>3568</v>
      </c>
      <c r="X1087" s="3066">
        <v>0</v>
      </c>
      <c r="Y1087" s="3066">
        <v>0</v>
      </c>
      <c r="Z1087" s="3066" t="s">
        <v>3568</v>
      </c>
      <c r="AA1087" s="3066" t="s">
        <v>3560</v>
      </c>
      <c r="AB1087" s="3066" t="s">
        <v>3560</v>
      </c>
      <c r="AC1087" s="3066" t="s">
        <v>3560</v>
      </c>
      <c r="AD1087" s="3066" t="s">
        <v>3560</v>
      </c>
      <c r="AE1087" s="3066" t="s">
        <v>3560</v>
      </c>
      <c r="AF1087" s="3067">
        <v>0</v>
      </c>
      <c r="AG1087" s="3066">
        <v>0</v>
      </c>
      <c r="AH1087" s="3066">
        <v>0</v>
      </c>
      <c r="AI1087" s="3066">
        <v>0</v>
      </c>
      <c r="AJ1087" s="3066">
        <v>0</v>
      </c>
      <c r="AK1087" s="3066">
        <v>0</v>
      </c>
      <c r="AL1087" s="3066">
        <v>0</v>
      </c>
      <c r="AM1087" s="3066">
        <v>0</v>
      </c>
      <c r="AN1087" s="3066" t="s">
        <v>3560</v>
      </c>
      <c r="AP1087" s="3068">
        <f t="shared" si="17"/>
        <v>0</v>
      </c>
    </row>
    <row r="1088" spans="2:42" ht="27" customHeight="1">
      <c r="B1088" s="3066">
        <v>1225</v>
      </c>
      <c r="C1088" s="3066" t="s">
        <v>3214</v>
      </c>
      <c r="D1088" s="3066" t="s">
        <v>3926</v>
      </c>
      <c r="E1088" s="3066" t="s">
        <v>6858</v>
      </c>
      <c r="F1088" s="3066" t="s">
        <v>3917</v>
      </c>
      <c r="G1088" s="3066" t="s">
        <v>3560</v>
      </c>
      <c r="H1088" s="3066" t="s">
        <v>3560</v>
      </c>
      <c r="I1088" s="3066" t="s">
        <v>3953</v>
      </c>
      <c r="J1088" s="3066" t="s">
        <v>3953</v>
      </c>
      <c r="K1088" s="3066" t="s">
        <v>3560</v>
      </c>
      <c r="L1088" s="3066" t="s">
        <v>3954</v>
      </c>
      <c r="M1088" s="3066" t="s">
        <v>6859</v>
      </c>
      <c r="N1088" s="3066">
        <v>12</v>
      </c>
      <c r="O1088" s="3066" t="s">
        <v>6860</v>
      </c>
      <c r="P1088" s="3066" t="s">
        <v>3566</v>
      </c>
      <c r="Q1088" s="3066">
        <v>0</v>
      </c>
      <c r="R1088" s="3066">
        <v>1370</v>
      </c>
      <c r="S1088" s="3066" t="s">
        <v>3567</v>
      </c>
      <c r="T1088" s="3066">
        <v>20</v>
      </c>
      <c r="U1088" s="3066">
        <v>240</v>
      </c>
      <c r="V1088" s="3066" t="s">
        <v>3560</v>
      </c>
      <c r="W1088" s="3066" t="s">
        <v>3568</v>
      </c>
      <c r="X1088" s="3066">
        <v>2.83</v>
      </c>
      <c r="Y1088" s="3066">
        <v>408</v>
      </c>
      <c r="Z1088" s="3066" t="s">
        <v>3568</v>
      </c>
      <c r="AA1088" s="3066" t="s">
        <v>3560</v>
      </c>
      <c r="AB1088" s="3066" t="s">
        <v>6861</v>
      </c>
      <c r="AC1088" s="3066" t="s">
        <v>6861</v>
      </c>
      <c r="AD1088" s="3066" t="s">
        <v>6861</v>
      </c>
      <c r="AE1088" s="3066" t="s">
        <v>3560</v>
      </c>
      <c r="AF1088" s="3067">
        <v>240</v>
      </c>
      <c r="AG1088" s="3066">
        <v>240</v>
      </c>
      <c r="AH1088" s="3066">
        <v>34</v>
      </c>
      <c r="AI1088" s="3066">
        <v>34</v>
      </c>
      <c r="AJ1088" s="3066">
        <v>0</v>
      </c>
      <c r="AK1088" s="3066">
        <v>0</v>
      </c>
      <c r="AL1088" s="3066">
        <v>274</v>
      </c>
      <c r="AM1088" s="3066">
        <v>274</v>
      </c>
      <c r="AN1088" s="3066" t="s">
        <v>3560</v>
      </c>
      <c r="AP1088" s="3068">
        <f t="shared" si="17"/>
        <v>20</v>
      </c>
    </row>
    <row r="1089" spans="2:42" ht="27" customHeight="1">
      <c r="B1089" s="3066">
        <v>1230</v>
      </c>
      <c r="C1089" s="3066" t="s">
        <v>3181</v>
      </c>
      <c r="D1089" s="3066" t="s">
        <v>3560</v>
      </c>
      <c r="E1089" s="3066" t="s">
        <v>6862</v>
      </c>
      <c r="F1089" s="3066" t="s">
        <v>3559</v>
      </c>
      <c r="G1089" s="3066" t="s">
        <v>3560</v>
      </c>
      <c r="H1089" s="3066" t="s">
        <v>3560</v>
      </c>
      <c r="I1089" s="3066" t="s">
        <v>6863</v>
      </c>
      <c r="J1089" s="3066" t="s">
        <v>6864</v>
      </c>
      <c r="K1089" s="3066" t="s">
        <v>3560</v>
      </c>
      <c r="L1089" s="3066" t="s">
        <v>6865</v>
      </c>
      <c r="M1089" s="3066" t="s">
        <v>6866</v>
      </c>
      <c r="N1089" s="3066">
        <v>287.5</v>
      </c>
      <c r="O1089" s="3066" t="s">
        <v>3744</v>
      </c>
      <c r="P1089" s="3066" t="s">
        <v>3566</v>
      </c>
      <c r="Q1089" s="3066">
        <v>1</v>
      </c>
      <c r="R1089" s="3066">
        <v>28031.25</v>
      </c>
      <c r="S1089" s="3066" t="s">
        <v>3567</v>
      </c>
      <c r="T1089" s="3066">
        <v>30</v>
      </c>
      <c r="U1089" s="3066">
        <v>8625</v>
      </c>
      <c r="V1089" s="3066" t="s">
        <v>3560</v>
      </c>
      <c r="W1089" s="3066" t="s">
        <v>3568</v>
      </c>
      <c r="X1089" s="3066">
        <v>2.5</v>
      </c>
      <c r="Y1089" s="3066">
        <v>8625</v>
      </c>
      <c r="Z1089" s="3066" t="s">
        <v>3568</v>
      </c>
      <c r="AA1089" s="3066" t="s">
        <v>3560</v>
      </c>
      <c r="AB1089" s="3066" t="s">
        <v>3746</v>
      </c>
      <c r="AC1089" s="3066" t="s">
        <v>3746</v>
      </c>
      <c r="AD1089" s="3066" t="s">
        <v>3746</v>
      </c>
      <c r="AE1089" s="3066" t="s">
        <v>3560</v>
      </c>
      <c r="AF1089" s="3067">
        <v>8625</v>
      </c>
      <c r="AG1089" s="3066">
        <v>0</v>
      </c>
      <c r="AH1089" s="3066">
        <v>718.75</v>
      </c>
      <c r="AI1089" s="3066">
        <v>0</v>
      </c>
      <c r="AJ1089" s="3066">
        <v>0</v>
      </c>
      <c r="AK1089" s="3066">
        <v>0</v>
      </c>
      <c r="AL1089" s="3066">
        <v>9343.75</v>
      </c>
      <c r="AM1089" s="3066">
        <v>0</v>
      </c>
      <c r="AN1089" s="3066" t="s">
        <v>3560</v>
      </c>
      <c r="AP1089" s="3068">
        <f t="shared" si="17"/>
        <v>30</v>
      </c>
    </row>
    <row r="1090" spans="2:42" ht="27" customHeight="1">
      <c r="B1090" s="3066">
        <v>1231</v>
      </c>
      <c r="C1090" s="3066" t="s">
        <v>5490</v>
      </c>
      <c r="D1090" s="3066" t="s">
        <v>3560</v>
      </c>
      <c r="E1090" s="3066" t="s">
        <v>6867</v>
      </c>
      <c r="F1090" s="3066" t="s">
        <v>3917</v>
      </c>
      <c r="G1090" s="3066" t="s">
        <v>3560</v>
      </c>
      <c r="H1090" s="3066" t="s">
        <v>3560</v>
      </c>
      <c r="I1090" s="3066" t="s">
        <v>6260</v>
      </c>
      <c r="J1090" s="3066" t="s">
        <v>6260</v>
      </c>
      <c r="K1090" s="3066" t="s">
        <v>3560</v>
      </c>
      <c r="L1090" s="3066" t="s">
        <v>3789</v>
      </c>
      <c r="M1090" s="3066" t="s">
        <v>6868</v>
      </c>
      <c r="N1090" s="3066">
        <v>7</v>
      </c>
      <c r="O1090" s="3066" t="s">
        <v>4008</v>
      </c>
      <c r="P1090" s="3066" t="s">
        <v>3566</v>
      </c>
      <c r="Q1090" s="3066">
        <v>1</v>
      </c>
      <c r="R1090" s="3066">
        <v>492</v>
      </c>
      <c r="S1090" s="3066" t="s">
        <v>3567</v>
      </c>
      <c r="T1090" s="3066">
        <v>20</v>
      </c>
      <c r="U1090" s="3066">
        <v>140</v>
      </c>
      <c r="V1090" s="3066" t="s">
        <v>3560</v>
      </c>
      <c r="W1090" s="3066" t="s">
        <v>3568</v>
      </c>
      <c r="X1090" s="3066">
        <v>3.43</v>
      </c>
      <c r="Y1090" s="3066">
        <v>288</v>
      </c>
      <c r="Z1090" s="3066" t="s">
        <v>3568</v>
      </c>
      <c r="AA1090" s="3066" t="s">
        <v>3560</v>
      </c>
      <c r="AB1090" s="3066" t="s">
        <v>3692</v>
      </c>
      <c r="AC1090" s="3066" t="s">
        <v>3692</v>
      </c>
      <c r="AD1090" s="3066" t="s">
        <v>3692</v>
      </c>
      <c r="AE1090" s="3066" t="s">
        <v>3560</v>
      </c>
      <c r="AF1090" s="3067">
        <v>140</v>
      </c>
      <c r="AG1090" s="3066">
        <v>0</v>
      </c>
      <c r="AH1090" s="3066">
        <v>24</v>
      </c>
      <c r="AI1090" s="3066">
        <v>0</v>
      </c>
      <c r="AJ1090" s="3066">
        <v>0</v>
      </c>
      <c r="AK1090" s="3066">
        <v>0</v>
      </c>
      <c r="AL1090" s="3066">
        <v>164</v>
      </c>
      <c r="AM1090" s="3066">
        <v>0</v>
      </c>
      <c r="AN1090" s="3066" t="s">
        <v>3560</v>
      </c>
      <c r="AP1090" s="3068">
        <f t="shared" si="17"/>
        <v>20</v>
      </c>
    </row>
    <row r="1091" spans="2:42" ht="27" customHeight="1">
      <c r="B1091" s="3066">
        <v>1232</v>
      </c>
      <c r="C1091" s="3066" t="s">
        <v>5490</v>
      </c>
      <c r="D1091" s="3066" t="s">
        <v>3560</v>
      </c>
      <c r="E1091" s="3066" t="s">
        <v>6869</v>
      </c>
      <c r="F1091" s="3066" t="s">
        <v>3917</v>
      </c>
      <c r="G1091" s="3066" t="s">
        <v>3560</v>
      </c>
      <c r="H1091" s="3066" t="s">
        <v>3560</v>
      </c>
      <c r="I1091" s="3066" t="s">
        <v>6870</v>
      </c>
      <c r="J1091" s="3066" t="s">
        <v>6870</v>
      </c>
      <c r="K1091" s="3066" t="s">
        <v>3560</v>
      </c>
      <c r="L1091" s="3066" t="s">
        <v>6871</v>
      </c>
      <c r="M1091" s="3066" t="s">
        <v>6872</v>
      </c>
      <c r="N1091" s="3066">
        <v>7</v>
      </c>
      <c r="O1091" s="3066" t="s">
        <v>4008</v>
      </c>
      <c r="P1091" s="3066" t="s">
        <v>3566</v>
      </c>
      <c r="Q1091" s="3066">
        <v>1</v>
      </c>
      <c r="R1091" s="3066">
        <v>492</v>
      </c>
      <c r="S1091" s="3066" t="s">
        <v>3567</v>
      </c>
      <c r="T1091" s="3066">
        <v>20</v>
      </c>
      <c r="U1091" s="3066">
        <v>140</v>
      </c>
      <c r="V1091" s="3066" t="s">
        <v>3560</v>
      </c>
      <c r="W1091" s="3066" t="s">
        <v>3568</v>
      </c>
      <c r="X1091" s="3066">
        <v>3.43</v>
      </c>
      <c r="Y1091" s="3066">
        <v>288</v>
      </c>
      <c r="Z1091" s="3066" t="s">
        <v>3568</v>
      </c>
      <c r="AA1091" s="3066" t="s">
        <v>3560</v>
      </c>
      <c r="AB1091" s="3066" t="s">
        <v>3692</v>
      </c>
      <c r="AC1091" s="3066" t="s">
        <v>3692</v>
      </c>
      <c r="AD1091" s="3066" t="s">
        <v>3692</v>
      </c>
      <c r="AE1091" s="3066" t="s">
        <v>3560</v>
      </c>
      <c r="AF1091" s="3067">
        <v>140</v>
      </c>
      <c r="AG1091" s="3066">
        <v>140</v>
      </c>
      <c r="AH1091" s="3066">
        <v>24</v>
      </c>
      <c r="AI1091" s="3066">
        <v>24</v>
      </c>
      <c r="AJ1091" s="3066">
        <v>0</v>
      </c>
      <c r="AK1091" s="3066">
        <v>0</v>
      </c>
      <c r="AL1091" s="3066">
        <v>164</v>
      </c>
      <c r="AM1091" s="3066">
        <v>164</v>
      </c>
      <c r="AN1091" s="3066" t="s">
        <v>3560</v>
      </c>
      <c r="AP1091" s="3068">
        <f t="shared" si="17"/>
        <v>20</v>
      </c>
    </row>
    <row r="1092" spans="2:42" ht="27" customHeight="1">
      <c r="B1092" s="3066">
        <v>1233</v>
      </c>
      <c r="C1092" s="3066" t="s">
        <v>3874</v>
      </c>
      <c r="D1092" s="3066" t="s">
        <v>3560</v>
      </c>
      <c r="E1092" s="3066" t="s">
        <v>6873</v>
      </c>
      <c r="F1092" s="3066" t="s">
        <v>3559</v>
      </c>
      <c r="G1092" s="3066" t="s">
        <v>3560</v>
      </c>
      <c r="H1092" s="3066" t="s">
        <v>3560</v>
      </c>
      <c r="I1092" s="3066" t="s">
        <v>6874</v>
      </c>
      <c r="J1092" s="3066" t="s">
        <v>6875</v>
      </c>
      <c r="K1092" s="3066" t="s">
        <v>3560</v>
      </c>
      <c r="L1092" s="3066" t="s">
        <v>6876</v>
      </c>
      <c r="M1092" s="3066" t="s">
        <v>6670</v>
      </c>
      <c r="N1092" s="3066">
        <v>20</v>
      </c>
      <c r="O1092" s="3066" t="s">
        <v>3590</v>
      </c>
      <c r="P1092" s="3066" t="s">
        <v>3566</v>
      </c>
      <c r="Q1092" s="3066">
        <v>0</v>
      </c>
      <c r="R1092" s="3066">
        <v>1530</v>
      </c>
      <c r="S1092" s="3066" t="s">
        <v>3567</v>
      </c>
      <c r="T1092" s="3066">
        <v>23</v>
      </c>
      <c r="U1092" s="3066">
        <v>460</v>
      </c>
      <c r="V1092" s="3066" t="s">
        <v>3560</v>
      </c>
      <c r="W1092" s="3066" t="s">
        <v>3568</v>
      </c>
      <c r="X1092" s="3066">
        <v>2.5</v>
      </c>
      <c r="Y1092" s="3066">
        <v>600</v>
      </c>
      <c r="Z1092" s="3066" t="s">
        <v>3568</v>
      </c>
      <c r="AA1092" s="3066" t="s">
        <v>3560</v>
      </c>
      <c r="AB1092" s="3066" t="s">
        <v>3591</v>
      </c>
      <c r="AC1092" s="3066" t="s">
        <v>3591</v>
      </c>
      <c r="AD1092" s="3066" t="s">
        <v>3591</v>
      </c>
      <c r="AE1092" s="3066" t="s">
        <v>3560</v>
      </c>
      <c r="AF1092" s="3067">
        <v>460</v>
      </c>
      <c r="AG1092" s="3066">
        <v>0</v>
      </c>
      <c r="AH1092" s="3066">
        <v>50</v>
      </c>
      <c r="AI1092" s="3066">
        <v>0</v>
      </c>
      <c r="AJ1092" s="3066">
        <v>0</v>
      </c>
      <c r="AK1092" s="3066">
        <v>0</v>
      </c>
      <c r="AL1092" s="3066">
        <v>510</v>
      </c>
      <c r="AM1092" s="3066">
        <v>0</v>
      </c>
      <c r="AN1092" s="3066" t="s">
        <v>3560</v>
      </c>
      <c r="AP1092" s="3068">
        <f t="shared" si="17"/>
        <v>23</v>
      </c>
    </row>
    <row r="1093" spans="2:42" ht="27" customHeight="1">
      <c r="B1093" s="3066">
        <v>1234</v>
      </c>
      <c r="C1093" s="3066" t="s">
        <v>5208</v>
      </c>
      <c r="D1093" s="3066" t="s">
        <v>3926</v>
      </c>
      <c r="E1093" s="3066" t="s">
        <v>6877</v>
      </c>
      <c r="F1093" s="3066" t="s">
        <v>3917</v>
      </c>
      <c r="G1093" s="3066" t="s">
        <v>1373</v>
      </c>
      <c r="H1093" s="3066" t="s">
        <v>3560</v>
      </c>
      <c r="I1093" s="3066" t="s">
        <v>3586</v>
      </c>
      <c r="J1093" s="3066" t="s">
        <v>3587</v>
      </c>
      <c r="K1093" s="3066" t="s">
        <v>3560</v>
      </c>
      <c r="L1093" s="3066" t="s">
        <v>3588</v>
      </c>
      <c r="M1093" s="3066" t="s">
        <v>6878</v>
      </c>
      <c r="N1093" s="3066">
        <v>37.799999999999997</v>
      </c>
      <c r="O1093" s="3066" t="s">
        <v>3590</v>
      </c>
      <c r="P1093" s="3066" t="s">
        <v>3566</v>
      </c>
      <c r="Q1093" s="3066">
        <v>0</v>
      </c>
      <c r="R1093" s="3066">
        <v>24948</v>
      </c>
      <c r="S1093" s="3066" t="s">
        <v>3567</v>
      </c>
      <c r="T1093" s="3066">
        <v>20</v>
      </c>
      <c r="U1093" s="3066">
        <v>756</v>
      </c>
      <c r="V1093" s="3066" t="s">
        <v>3560</v>
      </c>
      <c r="W1093" s="3066" t="s">
        <v>3568</v>
      </c>
      <c r="X1093" s="3066">
        <v>2</v>
      </c>
      <c r="Y1093" s="3066">
        <v>907.2</v>
      </c>
      <c r="Z1093" s="3066" t="s">
        <v>3568</v>
      </c>
      <c r="AA1093" s="3066" t="s">
        <v>3560</v>
      </c>
      <c r="AB1093" s="3066" t="s">
        <v>3591</v>
      </c>
      <c r="AC1093" s="3066" t="s">
        <v>3591</v>
      </c>
      <c r="AD1093" s="3066" t="s">
        <v>3591</v>
      </c>
      <c r="AE1093" s="3066" t="s">
        <v>3560</v>
      </c>
      <c r="AF1093" s="3067">
        <v>756</v>
      </c>
      <c r="AG1093" s="3066">
        <v>756</v>
      </c>
      <c r="AH1093" s="3066">
        <v>75.599999999999994</v>
      </c>
      <c r="AI1093" s="3066">
        <v>75.599999999999994</v>
      </c>
      <c r="AJ1093" s="3066">
        <v>43.81</v>
      </c>
      <c r="AK1093" s="3066">
        <v>43.81</v>
      </c>
      <c r="AL1093" s="3066">
        <v>875.41</v>
      </c>
      <c r="AM1093" s="3066">
        <v>875.41</v>
      </c>
      <c r="AN1093" s="3066" t="s">
        <v>3560</v>
      </c>
      <c r="AP1093" s="3068">
        <f t="shared" si="17"/>
        <v>20</v>
      </c>
    </row>
    <row r="1094" spans="2:42" ht="27" customHeight="1">
      <c r="B1094" s="3066">
        <v>1235</v>
      </c>
      <c r="C1094" s="3066" t="s">
        <v>5208</v>
      </c>
      <c r="D1094" s="3066" t="s">
        <v>3926</v>
      </c>
      <c r="E1094" s="3066" t="s">
        <v>6879</v>
      </c>
      <c r="F1094" s="3066" t="s">
        <v>3917</v>
      </c>
      <c r="G1094" s="3066" t="s">
        <v>1373</v>
      </c>
      <c r="H1094" s="3066" t="s">
        <v>3560</v>
      </c>
      <c r="I1094" s="3066" t="s">
        <v>5900</v>
      </c>
      <c r="J1094" s="3066" t="s">
        <v>3560</v>
      </c>
      <c r="K1094" s="3066" t="s">
        <v>3560</v>
      </c>
      <c r="L1094" s="3066" t="s">
        <v>5901</v>
      </c>
      <c r="M1094" s="3066" t="s">
        <v>6880</v>
      </c>
      <c r="N1094" s="3066">
        <v>37.799999999999997</v>
      </c>
      <c r="O1094" s="3066" t="s">
        <v>3785</v>
      </c>
      <c r="P1094" s="3066" t="s">
        <v>3566</v>
      </c>
      <c r="Q1094" s="3066">
        <v>1</v>
      </c>
      <c r="R1094" s="3066">
        <v>2525</v>
      </c>
      <c r="S1094" s="3066" t="s">
        <v>3567</v>
      </c>
      <c r="T1094" s="3066">
        <v>20</v>
      </c>
      <c r="U1094" s="3066">
        <v>756</v>
      </c>
      <c r="V1094" s="3066" t="s">
        <v>3560</v>
      </c>
      <c r="W1094" s="3066" t="s">
        <v>3568</v>
      </c>
      <c r="X1094" s="3066">
        <v>2.2599999999999998</v>
      </c>
      <c r="Y1094" s="3066">
        <v>1027.2</v>
      </c>
      <c r="Z1094" s="3066" t="s">
        <v>3568</v>
      </c>
      <c r="AA1094" s="3066" t="s">
        <v>3560</v>
      </c>
      <c r="AB1094" s="3066" t="s">
        <v>3591</v>
      </c>
      <c r="AC1094" s="3066" t="s">
        <v>3591</v>
      </c>
      <c r="AD1094" s="3066" t="s">
        <v>3591</v>
      </c>
      <c r="AE1094" s="3066" t="s">
        <v>3560</v>
      </c>
      <c r="AF1094" s="3067">
        <v>756</v>
      </c>
      <c r="AG1094" s="3066">
        <v>0</v>
      </c>
      <c r="AH1094" s="3066">
        <v>85.6</v>
      </c>
      <c r="AI1094" s="3066">
        <v>0</v>
      </c>
      <c r="AJ1094" s="3066">
        <v>305.86</v>
      </c>
      <c r="AK1094" s="3066">
        <v>0</v>
      </c>
      <c r="AL1094" s="3066">
        <v>1147.46</v>
      </c>
      <c r="AM1094" s="3066">
        <v>0</v>
      </c>
      <c r="AN1094" s="3066" t="s">
        <v>3560</v>
      </c>
      <c r="AP1094" s="3068">
        <f t="shared" si="17"/>
        <v>20</v>
      </c>
    </row>
    <row r="1095" spans="2:42" ht="27" customHeight="1">
      <c r="B1095" s="3066">
        <v>1236</v>
      </c>
      <c r="C1095" s="3066" t="s">
        <v>5208</v>
      </c>
      <c r="D1095" s="3066" t="s">
        <v>3926</v>
      </c>
      <c r="E1095" s="3066" t="s">
        <v>6881</v>
      </c>
      <c r="F1095" s="3066" t="s">
        <v>3917</v>
      </c>
      <c r="G1095" s="3066" t="s">
        <v>1373</v>
      </c>
      <c r="H1095" s="3066" t="s">
        <v>3560</v>
      </c>
      <c r="I1095" s="3066" t="s">
        <v>3586</v>
      </c>
      <c r="J1095" s="3066" t="s">
        <v>3587</v>
      </c>
      <c r="K1095" s="3066" t="s">
        <v>3560</v>
      </c>
      <c r="L1095" s="3066" t="s">
        <v>3588</v>
      </c>
      <c r="M1095" s="3066" t="s">
        <v>6882</v>
      </c>
      <c r="N1095" s="3066">
        <v>37.799999999999997</v>
      </c>
      <c r="O1095" s="3066" t="s">
        <v>3590</v>
      </c>
      <c r="P1095" s="3066" t="s">
        <v>3566</v>
      </c>
      <c r="Q1095" s="3066">
        <v>0</v>
      </c>
      <c r="R1095" s="3066">
        <v>0</v>
      </c>
      <c r="S1095" s="3066" t="s">
        <v>3577</v>
      </c>
      <c r="T1095" s="3066">
        <v>20</v>
      </c>
      <c r="U1095" s="3066">
        <v>756</v>
      </c>
      <c r="V1095" s="3066" t="s">
        <v>3560</v>
      </c>
      <c r="W1095" s="3066" t="s">
        <v>3568</v>
      </c>
      <c r="X1095" s="3066">
        <v>2</v>
      </c>
      <c r="Y1095" s="3066">
        <v>907.2</v>
      </c>
      <c r="Z1095" s="3066" t="s">
        <v>3568</v>
      </c>
      <c r="AA1095" s="3066" t="s">
        <v>3560</v>
      </c>
      <c r="AB1095" s="3066" t="s">
        <v>3591</v>
      </c>
      <c r="AC1095" s="3066" t="s">
        <v>3591</v>
      </c>
      <c r="AD1095" s="3066" t="s">
        <v>3591</v>
      </c>
      <c r="AE1095" s="3066" t="s">
        <v>3560</v>
      </c>
      <c r="AF1095" s="3067">
        <v>756</v>
      </c>
      <c r="AG1095" s="3066">
        <v>756</v>
      </c>
      <c r="AH1095" s="3066">
        <v>75.599999999999994</v>
      </c>
      <c r="AI1095" s="3066">
        <v>75.599999999999994</v>
      </c>
      <c r="AJ1095" s="3066">
        <v>121</v>
      </c>
      <c r="AK1095" s="3066">
        <v>121</v>
      </c>
      <c r="AL1095" s="3066">
        <v>952.6</v>
      </c>
      <c r="AM1095" s="3066">
        <v>952.6</v>
      </c>
      <c r="AN1095" s="3066" t="s">
        <v>3560</v>
      </c>
      <c r="AP1095" s="3068">
        <f t="shared" si="17"/>
        <v>20</v>
      </c>
    </row>
    <row r="1096" spans="2:42" ht="27" customHeight="1">
      <c r="B1096" s="3066">
        <v>1237</v>
      </c>
      <c r="C1096" s="3066" t="s">
        <v>5208</v>
      </c>
      <c r="D1096" s="3066" t="s">
        <v>3926</v>
      </c>
      <c r="E1096" s="3066" t="s">
        <v>6883</v>
      </c>
      <c r="F1096" s="3066" t="s">
        <v>3917</v>
      </c>
      <c r="G1096" s="3066" t="s">
        <v>1373</v>
      </c>
      <c r="H1096" s="3066" t="s">
        <v>3560</v>
      </c>
      <c r="I1096" s="3066" t="s">
        <v>6884</v>
      </c>
      <c r="J1096" s="3066" t="s">
        <v>3560</v>
      </c>
      <c r="K1096" s="3066" t="s">
        <v>3560</v>
      </c>
      <c r="L1096" s="3066" t="s">
        <v>6885</v>
      </c>
      <c r="M1096" s="3066" t="s">
        <v>6886</v>
      </c>
      <c r="N1096" s="3066">
        <v>37.799999999999997</v>
      </c>
      <c r="O1096" s="3066" t="s">
        <v>3785</v>
      </c>
      <c r="P1096" s="3066" t="s">
        <v>3566</v>
      </c>
      <c r="Q1096" s="3066">
        <v>1</v>
      </c>
      <c r="R1096" s="3066">
        <v>4208</v>
      </c>
      <c r="S1096" s="3066" t="s">
        <v>3567</v>
      </c>
      <c r="T1096" s="3066">
        <v>20</v>
      </c>
      <c r="U1096" s="3066">
        <v>756</v>
      </c>
      <c r="V1096" s="3066" t="s">
        <v>3560</v>
      </c>
      <c r="W1096" s="3066" t="s">
        <v>3568</v>
      </c>
      <c r="X1096" s="3066">
        <v>2.2599999999999998</v>
      </c>
      <c r="Y1096" s="3066">
        <v>1027.2</v>
      </c>
      <c r="Z1096" s="3066" t="s">
        <v>3568</v>
      </c>
      <c r="AA1096" s="3066" t="s">
        <v>3560</v>
      </c>
      <c r="AB1096" s="3066" t="s">
        <v>3591</v>
      </c>
      <c r="AC1096" s="3066" t="s">
        <v>3591</v>
      </c>
      <c r="AD1096" s="3066" t="s">
        <v>3591</v>
      </c>
      <c r="AE1096" s="3066" t="s">
        <v>3560</v>
      </c>
      <c r="AF1096" s="3067">
        <v>756</v>
      </c>
      <c r="AG1096" s="3066">
        <v>756</v>
      </c>
      <c r="AH1096" s="3066">
        <v>85.6</v>
      </c>
      <c r="AI1096" s="3066">
        <v>85.6</v>
      </c>
      <c r="AJ1096" s="3066">
        <v>111.42</v>
      </c>
      <c r="AK1096" s="3066">
        <v>111.42</v>
      </c>
      <c r="AL1096" s="3066">
        <v>953.02</v>
      </c>
      <c r="AM1096" s="3066">
        <v>953.02</v>
      </c>
      <c r="AN1096" s="3066" t="s">
        <v>3560</v>
      </c>
      <c r="AP1096" s="3068">
        <f t="shared" si="17"/>
        <v>20</v>
      </c>
    </row>
    <row r="1097" spans="2:42" ht="27" customHeight="1">
      <c r="B1097" s="3066">
        <v>1238</v>
      </c>
      <c r="C1097" s="3066" t="s">
        <v>5208</v>
      </c>
      <c r="D1097" s="3066" t="s">
        <v>3926</v>
      </c>
      <c r="E1097" s="3066" t="s">
        <v>6887</v>
      </c>
      <c r="F1097" s="3066" t="s">
        <v>3917</v>
      </c>
      <c r="G1097" s="3066" t="s">
        <v>3560</v>
      </c>
      <c r="H1097" s="3066" t="s">
        <v>3560</v>
      </c>
      <c r="I1097" s="3066" t="s">
        <v>6888</v>
      </c>
      <c r="J1097" s="3066" t="s">
        <v>6888</v>
      </c>
      <c r="K1097" s="3066" t="s">
        <v>3560</v>
      </c>
      <c r="L1097" s="3066" t="s">
        <v>6889</v>
      </c>
      <c r="M1097" s="3066" t="s">
        <v>6890</v>
      </c>
      <c r="N1097" s="3066">
        <v>37.799999999999997</v>
      </c>
      <c r="O1097" s="3066" t="s">
        <v>3785</v>
      </c>
      <c r="P1097" s="3066" t="s">
        <v>3566</v>
      </c>
      <c r="Q1097" s="3066">
        <v>1</v>
      </c>
      <c r="R1097" s="3066">
        <v>4208</v>
      </c>
      <c r="S1097" s="3066" t="s">
        <v>3567</v>
      </c>
      <c r="T1097" s="3066">
        <v>20</v>
      </c>
      <c r="U1097" s="3066">
        <v>756</v>
      </c>
      <c r="V1097" s="3066" t="s">
        <v>3560</v>
      </c>
      <c r="W1097" s="3066" t="s">
        <v>3568</v>
      </c>
      <c r="X1097" s="3066">
        <v>2.2599999999999998</v>
      </c>
      <c r="Y1097" s="3066">
        <v>1027.2</v>
      </c>
      <c r="Z1097" s="3066" t="s">
        <v>3568</v>
      </c>
      <c r="AA1097" s="3066" t="s">
        <v>3560</v>
      </c>
      <c r="AB1097" s="3066" t="s">
        <v>3591</v>
      </c>
      <c r="AC1097" s="3066" t="s">
        <v>3591</v>
      </c>
      <c r="AD1097" s="3066" t="s">
        <v>3591</v>
      </c>
      <c r="AE1097" s="3066" t="s">
        <v>3560</v>
      </c>
      <c r="AF1097" s="3067">
        <v>756</v>
      </c>
      <c r="AG1097" s="3066">
        <v>756</v>
      </c>
      <c r="AH1097" s="3066">
        <v>85.6</v>
      </c>
      <c r="AI1097" s="3066">
        <v>85.6</v>
      </c>
      <c r="AJ1097" s="3066">
        <v>28.39</v>
      </c>
      <c r="AK1097" s="3066">
        <v>28.39</v>
      </c>
      <c r="AL1097" s="3066">
        <v>869.99</v>
      </c>
      <c r="AM1097" s="3066">
        <v>869.99</v>
      </c>
      <c r="AN1097" s="3066" t="s">
        <v>3560</v>
      </c>
      <c r="AP1097" s="3068">
        <f t="shared" si="17"/>
        <v>20</v>
      </c>
    </row>
    <row r="1098" spans="2:42" ht="27" customHeight="1">
      <c r="B1098" s="3066">
        <v>1239</v>
      </c>
      <c r="C1098" s="3066" t="s">
        <v>5208</v>
      </c>
      <c r="D1098" s="3066" t="s">
        <v>3926</v>
      </c>
      <c r="E1098" s="3066" t="s">
        <v>6891</v>
      </c>
      <c r="F1098" s="3066" t="s">
        <v>3917</v>
      </c>
      <c r="G1098" s="3066" t="s">
        <v>3560</v>
      </c>
      <c r="H1098" s="3066" t="s">
        <v>3560</v>
      </c>
      <c r="I1098" s="3066" t="s">
        <v>6892</v>
      </c>
      <c r="J1098" s="3066" t="s">
        <v>6892</v>
      </c>
      <c r="K1098" s="3066" t="s">
        <v>3560</v>
      </c>
      <c r="L1098" s="3066" t="s">
        <v>6893</v>
      </c>
      <c r="M1098" s="3066" t="s">
        <v>6894</v>
      </c>
      <c r="N1098" s="3066">
        <v>37.799999999999997</v>
      </c>
      <c r="O1098" s="3066" t="s">
        <v>3785</v>
      </c>
      <c r="P1098" s="3066" t="s">
        <v>3566</v>
      </c>
      <c r="Q1098" s="3066">
        <v>1</v>
      </c>
      <c r="R1098" s="3066">
        <v>4208</v>
      </c>
      <c r="S1098" s="3066" t="s">
        <v>3567</v>
      </c>
      <c r="T1098" s="3066">
        <v>20</v>
      </c>
      <c r="U1098" s="3066">
        <v>756</v>
      </c>
      <c r="V1098" s="3066" t="s">
        <v>3560</v>
      </c>
      <c r="W1098" s="3066" t="s">
        <v>3568</v>
      </c>
      <c r="X1098" s="3066">
        <v>2.2599999999999998</v>
      </c>
      <c r="Y1098" s="3066">
        <v>1027.2</v>
      </c>
      <c r="Z1098" s="3066" t="s">
        <v>3568</v>
      </c>
      <c r="AA1098" s="3066" t="s">
        <v>3560</v>
      </c>
      <c r="AB1098" s="3066" t="s">
        <v>3591</v>
      </c>
      <c r="AC1098" s="3066" t="s">
        <v>3591</v>
      </c>
      <c r="AD1098" s="3066" t="s">
        <v>3591</v>
      </c>
      <c r="AE1098" s="3066" t="s">
        <v>3560</v>
      </c>
      <c r="AF1098" s="3067">
        <v>756</v>
      </c>
      <c r="AG1098" s="3066">
        <v>756</v>
      </c>
      <c r="AH1098" s="3066">
        <v>85.6</v>
      </c>
      <c r="AI1098" s="3066">
        <v>85.6</v>
      </c>
      <c r="AJ1098" s="3066">
        <v>101.65</v>
      </c>
      <c r="AK1098" s="3066">
        <v>101.65</v>
      </c>
      <c r="AL1098" s="3066">
        <v>943.25</v>
      </c>
      <c r="AM1098" s="3066">
        <v>943.25</v>
      </c>
      <c r="AN1098" s="3066" t="s">
        <v>3560</v>
      </c>
      <c r="AP1098" s="3068">
        <f t="shared" si="17"/>
        <v>20</v>
      </c>
    </row>
    <row r="1099" spans="2:42" ht="27" customHeight="1">
      <c r="B1099" s="3066">
        <v>1240</v>
      </c>
      <c r="C1099" s="3066" t="s">
        <v>5208</v>
      </c>
      <c r="D1099" s="3066" t="s">
        <v>3926</v>
      </c>
      <c r="E1099" s="3066" t="s">
        <v>6895</v>
      </c>
      <c r="F1099" s="3066" t="s">
        <v>3917</v>
      </c>
      <c r="G1099" s="3066" t="s">
        <v>3560</v>
      </c>
      <c r="H1099" s="3066" t="s">
        <v>3560</v>
      </c>
      <c r="I1099" s="3066" t="s">
        <v>6896</v>
      </c>
      <c r="J1099" s="3066" t="s">
        <v>6896</v>
      </c>
      <c r="K1099" s="3066" t="s">
        <v>3560</v>
      </c>
      <c r="L1099" s="3066" t="s">
        <v>6897</v>
      </c>
      <c r="M1099" s="3066" t="s">
        <v>6898</v>
      </c>
      <c r="N1099" s="3066">
        <v>37.799999999999997</v>
      </c>
      <c r="O1099" s="3066" t="s">
        <v>3785</v>
      </c>
      <c r="P1099" s="3066" t="s">
        <v>3566</v>
      </c>
      <c r="Q1099" s="3066">
        <v>1</v>
      </c>
      <c r="R1099" s="3066">
        <v>4208</v>
      </c>
      <c r="S1099" s="3066" t="s">
        <v>3567</v>
      </c>
      <c r="T1099" s="3066">
        <v>20</v>
      </c>
      <c r="U1099" s="3066">
        <v>756</v>
      </c>
      <c r="V1099" s="3066" t="s">
        <v>3560</v>
      </c>
      <c r="W1099" s="3066" t="s">
        <v>3568</v>
      </c>
      <c r="X1099" s="3066">
        <v>2.2599999999999998</v>
      </c>
      <c r="Y1099" s="3066">
        <v>1027.2</v>
      </c>
      <c r="Z1099" s="3066" t="s">
        <v>3568</v>
      </c>
      <c r="AA1099" s="3066" t="s">
        <v>3560</v>
      </c>
      <c r="AB1099" s="3066" t="s">
        <v>3591</v>
      </c>
      <c r="AC1099" s="3066" t="s">
        <v>3591</v>
      </c>
      <c r="AD1099" s="3066" t="s">
        <v>3591</v>
      </c>
      <c r="AE1099" s="3066" t="s">
        <v>3560</v>
      </c>
      <c r="AF1099" s="3067">
        <v>756</v>
      </c>
      <c r="AG1099" s="3066">
        <v>756</v>
      </c>
      <c r="AH1099" s="3066">
        <v>85.6</v>
      </c>
      <c r="AI1099" s="3066">
        <v>85.6</v>
      </c>
      <c r="AJ1099" s="3066">
        <v>65.02</v>
      </c>
      <c r="AK1099" s="3066">
        <v>65.02</v>
      </c>
      <c r="AL1099" s="3066">
        <v>906.62</v>
      </c>
      <c r="AM1099" s="3066">
        <v>906.62</v>
      </c>
      <c r="AN1099" s="3066" t="s">
        <v>3560</v>
      </c>
      <c r="AP1099" s="3068">
        <f t="shared" si="17"/>
        <v>20</v>
      </c>
    </row>
    <row r="1100" spans="2:42" ht="27" customHeight="1">
      <c r="B1100" s="3066">
        <v>1241</v>
      </c>
      <c r="C1100" s="3066" t="s">
        <v>5208</v>
      </c>
      <c r="D1100" s="3066" t="s">
        <v>3926</v>
      </c>
      <c r="E1100" s="3066" t="s">
        <v>6899</v>
      </c>
      <c r="F1100" s="3066" t="s">
        <v>3917</v>
      </c>
      <c r="G1100" s="3066" t="s">
        <v>1373</v>
      </c>
      <c r="H1100" s="3066" t="s">
        <v>3560</v>
      </c>
      <c r="I1100" s="3066" t="s">
        <v>3586</v>
      </c>
      <c r="J1100" s="3066" t="s">
        <v>3587</v>
      </c>
      <c r="K1100" s="3066" t="s">
        <v>3560</v>
      </c>
      <c r="L1100" s="3066" t="s">
        <v>3588</v>
      </c>
      <c r="M1100" s="3066" t="s">
        <v>6900</v>
      </c>
      <c r="N1100" s="3066">
        <v>37.799999999999997</v>
      </c>
      <c r="O1100" s="3066" t="s">
        <v>3590</v>
      </c>
      <c r="P1100" s="3066" t="s">
        <v>3566</v>
      </c>
      <c r="Q1100" s="3066">
        <v>0</v>
      </c>
      <c r="R1100" s="3066">
        <v>0</v>
      </c>
      <c r="S1100" s="3066" t="s">
        <v>3577</v>
      </c>
      <c r="T1100" s="3066">
        <v>20</v>
      </c>
      <c r="U1100" s="3066">
        <v>756</v>
      </c>
      <c r="V1100" s="3066" t="s">
        <v>3560</v>
      </c>
      <c r="W1100" s="3066" t="s">
        <v>3568</v>
      </c>
      <c r="X1100" s="3066">
        <v>2</v>
      </c>
      <c r="Y1100" s="3066">
        <v>907.2</v>
      </c>
      <c r="Z1100" s="3066" t="s">
        <v>3568</v>
      </c>
      <c r="AA1100" s="3066" t="s">
        <v>3560</v>
      </c>
      <c r="AB1100" s="3066" t="s">
        <v>3591</v>
      </c>
      <c r="AC1100" s="3066" t="s">
        <v>3591</v>
      </c>
      <c r="AD1100" s="3066" t="s">
        <v>3591</v>
      </c>
      <c r="AE1100" s="3066" t="s">
        <v>3560</v>
      </c>
      <c r="AF1100" s="3067">
        <v>756</v>
      </c>
      <c r="AG1100" s="3066">
        <v>756</v>
      </c>
      <c r="AH1100" s="3066">
        <v>75.599999999999994</v>
      </c>
      <c r="AI1100" s="3066">
        <v>75.599999999999994</v>
      </c>
      <c r="AJ1100" s="3066">
        <v>122.95</v>
      </c>
      <c r="AK1100" s="3066">
        <v>122.95</v>
      </c>
      <c r="AL1100" s="3066">
        <v>954.55</v>
      </c>
      <c r="AM1100" s="3066">
        <v>954.55</v>
      </c>
      <c r="AN1100" s="3066" t="s">
        <v>3560</v>
      </c>
      <c r="AP1100" s="3068">
        <f t="shared" si="17"/>
        <v>20</v>
      </c>
    </row>
    <row r="1101" spans="2:42" ht="27" customHeight="1">
      <c r="B1101" s="3066">
        <v>1242</v>
      </c>
      <c r="C1101" s="3066" t="s">
        <v>5208</v>
      </c>
      <c r="D1101" s="3066" t="s">
        <v>3926</v>
      </c>
      <c r="E1101" s="3066" t="s">
        <v>6901</v>
      </c>
      <c r="F1101" s="3066" t="s">
        <v>3917</v>
      </c>
      <c r="G1101" s="3066" t="s">
        <v>3560</v>
      </c>
      <c r="H1101" s="3066" t="s">
        <v>3560</v>
      </c>
      <c r="I1101" s="3066" t="s">
        <v>6902</v>
      </c>
      <c r="J1101" s="3066" t="s">
        <v>6902</v>
      </c>
      <c r="K1101" s="3066" t="s">
        <v>3560</v>
      </c>
      <c r="L1101" s="3066" t="s">
        <v>6903</v>
      </c>
      <c r="M1101" s="3066" t="s">
        <v>6904</v>
      </c>
      <c r="N1101" s="3066">
        <v>37.799999999999997</v>
      </c>
      <c r="O1101" s="3066" t="s">
        <v>3785</v>
      </c>
      <c r="P1101" s="3066" t="s">
        <v>3566</v>
      </c>
      <c r="Q1101" s="3066">
        <v>1</v>
      </c>
      <c r="R1101" s="3066">
        <v>4208</v>
      </c>
      <c r="S1101" s="3066" t="s">
        <v>3567</v>
      </c>
      <c r="T1101" s="3066">
        <v>20</v>
      </c>
      <c r="U1101" s="3066">
        <v>756</v>
      </c>
      <c r="V1101" s="3066" t="s">
        <v>3560</v>
      </c>
      <c r="W1101" s="3066" t="s">
        <v>3568</v>
      </c>
      <c r="X1101" s="3066">
        <v>2.2599999999999998</v>
      </c>
      <c r="Y1101" s="3066">
        <v>1027.2</v>
      </c>
      <c r="Z1101" s="3066" t="s">
        <v>3568</v>
      </c>
      <c r="AA1101" s="3066" t="s">
        <v>3560</v>
      </c>
      <c r="AB1101" s="3066" t="s">
        <v>3591</v>
      </c>
      <c r="AC1101" s="3066" t="s">
        <v>3591</v>
      </c>
      <c r="AD1101" s="3066" t="s">
        <v>3591</v>
      </c>
      <c r="AE1101" s="3066" t="s">
        <v>3560</v>
      </c>
      <c r="AF1101" s="3067">
        <v>756</v>
      </c>
      <c r="AG1101" s="3066">
        <v>756</v>
      </c>
      <c r="AH1101" s="3066">
        <v>85.6</v>
      </c>
      <c r="AI1101" s="3066">
        <v>85.6</v>
      </c>
      <c r="AJ1101" s="3066">
        <v>37.82</v>
      </c>
      <c r="AK1101" s="3066">
        <v>37.82</v>
      </c>
      <c r="AL1101" s="3066">
        <v>879.42</v>
      </c>
      <c r="AM1101" s="3066">
        <v>879.42</v>
      </c>
      <c r="AN1101" s="3066" t="s">
        <v>3560</v>
      </c>
      <c r="AP1101" s="3068">
        <f t="shared" si="17"/>
        <v>20</v>
      </c>
    </row>
    <row r="1102" spans="2:42" ht="27" customHeight="1">
      <c r="B1102" s="3066">
        <v>1243</v>
      </c>
      <c r="C1102" s="3066" t="s">
        <v>5208</v>
      </c>
      <c r="D1102" s="3066" t="s">
        <v>3926</v>
      </c>
      <c r="E1102" s="3066" t="s">
        <v>6905</v>
      </c>
      <c r="F1102" s="3066" t="s">
        <v>3917</v>
      </c>
      <c r="G1102" s="3066" t="s">
        <v>3560</v>
      </c>
      <c r="H1102" s="3066" t="s">
        <v>3560</v>
      </c>
      <c r="I1102" s="3066" t="s">
        <v>6906</v>
      </c>
      <c r="J1102" s="3066" t="s">
        <v>6906</v>
      </c>
      <c r="K1102" s="3066" t="s">
        <v>3560</v>
      </c>
      <c r="L1102" s="3066" t="s">
        <v>6907</v>
      </c>
      <c r="M1102" s="3066" t="s">
        <v>6908</v>
      </c>
      <c r="N1102" s="3066">
        <v>37.799999999999997</v>
      </c>
      <c r="O1102" s="3066" t="s">
        <v>3785</v>
      </c>
      <c r="P1102" s="3066" t="s">
        <v>3566</v>
      </c>
      <c r="Q1102" s="3066">
        <v>1</v>
      </c>
      <c r="R1102" s="3066">
        <v>4208</v>
      </c>
      <c r="S1102" s="3066" t="s">
        <v>3567</v>
      </c>
      <c r="T1102" s="3066">
        <v>20</v>
      </c>
      <c r="U1102" s="3066">
        <v>756</v>
      </c>
      <c r="V1102" s="3066" t="s">
        <v>3560</v>
      </c>
      <c r="W1102" s="3066" t="s">
        <v>3568</v>
      </c>
      <c r="X1102" s="3066">
        <v>2.2599999999999998</v>
      </c>
      <c r="Y1102" s="3066">
        <v>1027.2</v>
      </c>
      <c r="Z1102" s="3066" t="s">
        <v>3568</v>
      </c>
      <c r="AA1102" s="3066" t="s">
        <v>3560</v>
      </c>
      <c r="AB1102" s="3066" t="s">
        <v>3591</v>
      </c>
      <c r="AC1102" s="3066" t="s">
        <v>3591</v>
      </c>
      <c r="AD1102" s="3066" t="s">
        <v>3591</v>
      </c>
      <c r="AE1102" s="3066" t="s">
        <v>3560</v>
      </c>
      <c r="AF1102" s="3067">
        <v>756</v>
      </c>
      <c r="AG1102" s="3066">
        <v>756</v>
      </c>
      <c r="AH1102" s="3066">
        <v>85.6</v>
      </c>
      <c r="AI1102" s="3066">
        <v>85.6</v>
      </c>
      <c r="AJ1102" s="3066">
        <v>48.61</v>
      </c>
      <c r="AK1102" s="3066">
        <v>48.61</v>
      </c>
      <c r="AL1102" s="3066">
        <v>890.21</v>
      </c>
      <c r="AM1102" s="3066">
        <v>890.21</v>
      </c>
      <c r="AN1102" s="3066" t="s">
        <v>3560</v>
      </c>
      <c r="AP1102" s="3068">
        <f t="shared" si="17"/>
        <v>20</v>
      </c>
    </row>
    <row r="1103" spans="2:42" ht="27" customHeight="1">
      <c r="B1103" s="3066">
        <v>1244</v>
      </c>
      <c r="C1103" s="3066" t="s">
        <v>5208</v>
      </c>
      <c r="D1103" s="3066" t="s">
        <v>3972</v>
      </c>
      <c r="E1103" s="3066" t="s">
        <v>6909</v>
      </c>
      <c r="F1103" s="3066" t="s">
        <v>3917</v>
      </c>
      <c r="G1103" s="3066" t="s">
        <v>1373</v>
      </c>
      <c r="H1103" s="3066" t="s">
        <v>3560</v>
      </c>
      <c r="I1103" s="3066" t="s">
        <v>3586</v>
      </c>
      <c r="J1103" s="3066" t="s">
        <v>3587</v>
      </c>
      <c r="K1103" s="3066" t="s">
        <v>3560</v>
      </c>
      <c r="L1103" s="3066" t="s">
        <v>3588</v>
      </c>
      <c r="M1103" s="3066" t="s">
        <v>6910</v>
      </c>
      <c r="N1103" s="3066">
        <v>37.799999999999997</v>
      </c>
      <c r="O1103" s="3066" t="s">
        <v>3590</v>
      </c>
      <c r="P1103" s="3066" t="s">
        <v>3566</v>
      </c>
      <c r="Q1103" s="3066">
        <v>0</v>
      </c>
      <c r="R1103" s="3066">
        <v>0</v>
      </c>
      <c r="S1103" s="3066" t="s">
        <v>3577</v>
      </c>
      <c r="T1103" s="3066">
        <v>20</v>
      </c>
      <c r="U1103" s="3066">
        <v>756</v>
      </c>
      <c r="V1103" s="3066" t="s">
        <v>3560</v>
      </c>
      <c r="W1103" s="3066" t="s">
        <v>3568</v>
      </c>
      <c r="X1103" s="3066">
        <v>2</v>
      </c>
      <c r="Y1103" s="3066">
        <v>907.2</v>
      </c>
      <c r="Z1103" s="3066" t="s">
        <v>3568</v>
      </c>
      <c r="AA1103" s="3066" t="s">
        <v>3560</v>
      </c>
      <c r="AB1103" s="3066" t="s">
        <v>3591</v>
      </c>
      <c r="AC1103" s="3066" t="s">
        <v>3591</v>
      </c>
      <c r="AD1103" s="3066" t="s">
        <v>3591</v>
      </c>
      <c r="AE1103" s="3066" t="s">
        <v>3560</v>
      </c>
      <c r="AF1103" s="3067">
        <v>756</v>
      </c>
      <c r="AG1103" s="3066">
        <v>756</v>
      </c>
      <c r="AH1103" s="3066">
        <v>75.599999999999994</v>
      </c>
      <c r="AI1103" s="3066">
        <v>75.599999999999994</v>
      </c>
      <c r="AJ1103" s="3066">
        <v>37.94</v>
      </c>
      <c r="AK1103" s="3066">
        <v>37.94</v>
      </c>
      <c r="AL1103" s="3066">
        <v>869.54</v>
      </c>
      <c r="AM1103" s="3066">
        <v>869.54</v>
      </c>
      <c r="AN1103" s="3066" t="s">
        <v>3560</v>
      </c>
      <c r="AP1103" s="3068">
        <f t="shared" si="17"/>
        <v>20</v>
      </c>
    </row>
    <row r="1104" spans="2:42" ht="27" customHeight="1">
      <c r="B1104" s="3066">
        <v>1245</v>
      </c>
      <c r="C1104" s="3066" t="s">
        <v>5208</v>
      </c>
      <c r="D1104" s="3066" t="s">
        <v>3972</v>
      </c>
      <c r="E1104" s="3066" t="s">
        <v>6911</v>
      </c>
      <c r="F1104" s="3066" t="s">
        <v>3917</v>
      </c>
      <c r="G1104" s="3066" t="s">
        <v>1373</v>
      </c>
      <c r="H1104" s="3066" t="s">
        <v>3560</v>
      </c>
      <c r="I1104" s="3066" t="s">
        <v>3586</v>
      </c>
      <c r="J1104" s="3066" t="s">
        <v>3587</v>
      </c>
      <c r="K1104" s="3066" t="s">
        <v>3560</v>
      </c>
      <c r="L1104" s="3066" t="s">
        <v>3588</v>
      </c>
      <c r="M1104" s="3066" t="s">
        <v>6912</v>
      </c>
      <c r="N1104" s="3066">
        <v>37.799999999999997</v>
      </c>
      <c r="O1104" s="3066" t="s">
        <v>3590</v>
      </c>
      <c r="P1104" s="3066" t="s">
        <v>3566</v>
      </c>
      <c r="Q1104" s="3066">
        <v>0</v>
      </c>
      <c r="R1104" s="3066">
        <v>0</v>
      </c>
      <c r="S1104" s="3066" t="s">
        <v>3577</v>
      </c>
      <c r="T1104" s="3066">
        <v>20</v>
      </c>
      <c r="U1104" s="3066">
        <v>756</v>
      </c>
      <c r="V1104" s="3066" t="s">
        <v>3560</v>
      </c>
      <c r="W1104" s="3066" t="s">
        <v>3568</v>
      </c>
      <c r="X1104" s="3066">
        <v>2</v>
      </c>
      <c r="Y1104" s="3066">
        <v>907.2</v>
      </c>
      <c r="Z1104" s="3066" t="s">
        <v>3568</v>
      </c>
      <c r="AA1104" s="3066" t="s">
        <v>3560</v>
      </c>
      <c r="AB1104" s="3066" t="s">
        <v>3591</v>
      </c>
      <c r="AC1104" s="3066" t="s">
        <v>3591</v>
      </c>
      <c r="AD1104" s="3066" t="s">
        <v>3591</v>
      </c>
      <c r="AE1104" s="3066" t="s">
        <v>3560</v>
      </c>
      <c r="AF1104" s="3067">
        <v>756</v>
      </c>
      <c r="AG1104" s="3066">
        <v>756</v>
      </c>
      <c r="AH1104" s="3066">
        <v>75.599999999999994</v>
      </c>
      <c r="AI1104" s="3066">
        <v>75.599999999999994</v>
      </c>
      <c r="AJ1104" s="3066">
        <v>67.099999999999994</v>
      </c>
      <c r="AK1104" s="3066">
        <v>67.099999999999994</v>
      </c>
      <c r="AL1104" s="3066">
        <v>898.7</v>
      </c>
      <c r="AM1104" s="3066">
        <v>898.7</v>
      </c>
      <c r="AN1104" s="3066" t="s">
        <v>3560</v>
      </c>
      <c r="AP1104" s="3068">
        <f t="shared" si="17"/>
        <v>20</v>
      </c>
    </row>
    <row r="1105" spans="2:42" ht="27" customHeight="1">
      <c r="B1105" s="3066">
        <v>1246</v>
      </c>
      <c r="C1105" s="3066" t="s">
        <v>5208</v>
      </c>
      <c r="D1105" s="3066" t="s">
        <v>3972</v>
      </c>
      <c r="E1105" s="3066" t="s">
        <v>6913</v>
      </c>
      <c r="F1105" s="3066" t="s">
        <v>3917</v>
      </c>
      <c r="G1105" s="3066" t="s">
        <v>3560</v>
      </c>
      <c r="H1105" s="3066" t="s">
        <v>3560</v>
      </c>
      <c r="I1105" s="3066" t="s">
        <v>6914</v>
      </c>
      <c r="J1105" s="3066" t="s">
        <v>6914</v>
      </c>
      <c r="K1105" s="3066" t="s">
        <v>3560</v>
      </c>
      <c r="L1105" s="3066" t="s">
        <v>6915</v>
      </c>
      <c r="M1105" s="3066" t="s">
        <v>6916</v>
      </c>
      <c r="N1105" s="3066">
        <v>37.799999999999997</v>
      </c>
      <c r="O1105" s="3066" t="s">
        <v>3785</v>
      </c>
      <c r="P1105" s="3066" t="s">
        <v>3566</v>
      </c>
      <c r="Q1105" s="3066">
        <v>1</v>
      </c>
      <c r="R1105" s="3066">
        <v>4208</v>
      </c>
      <c r="S1105" s="3066" t="s">
        <v>3567</v>
      </c>
      <c r="T1105" s="3066">
        <v>20</v>
      </c>
      <c r="U1105" s="3066">
        <v>756</v>
      </c>
      <c r="V1105" s="3066" t="s">
        <v>3560</v>
      </c>
      <c r="W1105" s="3066" t="s">
        <v>3568</v>
      </c>
      <c r="X1105" s="3066">
        <v>2.2599999999999998</v>
      </c>
      <c r="Y1105" s="3066">
        <v>1027.2</v>
      </c>
      <c r="Z1105" s="3066" t="s">
        <v>3568</v>
      </c>
      <c r="AA1105" s="3066" t="s">
        <v>3560</v>
      </c>
      <c r="AB1105" s="3066" t="s">
        <v>3591</v>
      </c>
      <c r="AC1105" s="3066" t="s">
        <v>3591</v>
      </c>
      <c r="AD1105" s="3066" t="s">
        <v>3591</v>
      </c>
      <c r="AE1105" s="3066" t="s">
        <v>3560</v>
      </c>
      <c r="AF1105" s="3067">
        <v>756</v>
      </c>
      <c r="AG1105" s="3066">
        <v>756</v>
      </c>
      <c r="AH1105" s="3066">
        <v>85.6</v>
      </c>
      <c r="AI1105" s="3066">
        <v>85.6</v>
      </c>
      <c r="AJ1105" s="3066">
        <v>78.19</v>
      </c>
      <c r="AK1105" s="3066">
        <v>78.19</v>
      </c>
      <c r="AL1105" s="3066">
        <v>919.79</v>
      </c>
      <c r="AM1105" s="3066">
        <v>919.79</v>
      </c>
      <c r="AN1105" s="3066" t="s">
        <v>3560</v>
      </c>
      <c r="AP1105" s="3068">
        <f t="shared" si="17"/>
        <v>20</v>
      </c>
    </row>
    <row r="1106" spans="2:42" ht="27" customHeight="1">
      <c r="B1106" s="3066">
        <v>1247</v>
      </c>
      <c r="C1106" s="3066" t="s">
        <v>5208</v>
      </c>
      <c r="D1106" s="3066" t="s">
        <v>3972</v>
      </c>
      <c r="E1106" s="3066" t="s">
        <v>6917</v>
      </c>
      <c r="F1106" s="3066" t="s">
        <v>3917</v>
      </c>
      <c r="G1106" s="3066" t="s">
        <v>1373</v>
      </c>
      <c r="H1106" s="3066" t="s">
        <v>3560</v>
      </c>
      <c r="I1106" s="3066" t="s">
        <v>3586</v>
      </c>
      <c r="J1106" s="3066" t="s">
        <v>3587</v>
      </c>
      <c r="K1106" s="3066" t="s">
        <v>3560</v>
      </c>
      <c r="L1106" s="3066" t="s">
        <v>3588</v>
      </c>
      <c r="M1106" s="3066" t="s">
        <v>6918</v>
      </c>
      <c r="N1106" s="3066">
        <v>37.799999999999997</v>
      </c>
      <c r="O1106" s="3066" t="s">
        <v>3590</v>
      </c>
      <c r="P1106" s="3066" t="s">
        <v>3566</v>
      </c>
      <c r="Q1106" s="3066">
        <v>0</v>
      </c>
      <c r="R1106" s="3066">
        <v>0</v>
      </c>
      <c r="S1106" s="3066" t="s">
        <v>3577</v>
      </c>
      <c r="T1106" s="3066">
        <v>20</v>
      </c>
      <c r="U1106" s="3066">
        <v>756</v>
      </c>
      <c r="V1106" s="3066" t="s">
        <v>3560</v>
      </c>
      <c r="W1106" s="3066" t="s">
        <v>3568</v>
      </c>
      <c r="X1106" s="3066">
        <v>2</v>
      </c>
      <c r="Y1106" s="3066">
        <v>907.2</v>
      </c>
      <c r="Z1106" s="3066" t="s">
        <v>3568</v>
      </c>
      <c r="AA1106" s="3066" t="s">
        <v>3560</v>
      </c>
      <c r="AB1106" s="3066" t="s">
        <v>3591</v>
      </c>
      <c r="AC1106" s="3066" t="s">
        <v>3591</v>
      </c>
      <c r="AD1106" s="3066" t="s">
        <v>3591</v>
      </c>
      <c r="AE1106" s="3066" t="s">
        <v>3560</v>
      </c>
      <c r="AF1106" s="3067">
        <v>756</v>
      </c>
      <c r="AG1106" s="3066">
        <v>756</v>
      </c>
      <c r="AH1106" s="3066">
        <v>75.599999999999994</v>
      </c>
      <c r="AI1106" s="3066">
        <v>75.599999999999994</v>
      </c>
      <c r="AJ1106" s="3066">
        <v>39.25</v>
      </c>
      <c r="AK1106" s="3066">
        <v>39.25</v>
      </c>
      <c r="AL1106" s="3066">
        <v>870.85</v>
      </c>
      <c r="AM1106" s="3066">
        <v>870.85</v>
      </c>
      <c r="AN1106" s="3066" t="s">
        <v>3560</v>
      </c>
      <c r="AP1106" s="3068">
        <f t="shared" si="17"/>
        <v>20</v>
      </c>
    </row>
    <row r="1107" spans="2:42" ht="27" customHeight="1">
      <c r="B1107" s="3066">
        <v>1248</v>
      </c>
      <c r="C1107" s="3066" t="s">
        <v>5208</v>
      </c>
      <c r="D1107" s="3066" t="s">
        <v>3972</v>
      </c>
      <c r="E1107" s="3066" t="s">
        <v>6919</v>
      </c>
      <c r="F1107" s="3066" t="s">
        <v>3917</v>
      </c>
      <c r="G1107" s="3066" t="s">
        <v>1373</v>
      </c>
      <c r="H1107" s="3066" t="s">
        <v>3560</v>
      </c>
      <c r="I1107" s="3066" t="s">
        <v>3586</v>
      </c>
      <c r="J1107" s="3066" t="s">
        <v>3587</v>
      </c>
      <c r="K1107" s="3066" t="s">
        <v>3560</v>
      </c>
      <c r="L1107" s="3066" t="s">
        <v>3588</v>
      </c>
      <c r="M1107" s="3066" t="s">
        <v>6920</v>
      </c>
      <c r="N1107" s="3066">
        <v>37.799999999999997</v>
      </c>
      <c r="O1107" s="3066" t="s">
        <v>3590</v>
      </c>
      <c r="P1107" s="3066" t="s">
        <v>3566</v>
      </c>
      <c r="Q1107" s="3066">
        <v>0</v>
      </c>
      <c r="R1107" s="3066">
        <v>0</v>
      </c>
      <c r="S1107" s="3066" t="s">
        <v>3577</v>
      </c>
      <c r="T1107" s="3066">
        <v>20</v>
      </c>
      <c r="U1107" s="3066">
        <v>756</v>
      </c>
      <c r="V1107" s="3066" t="s">
        <v>3560</v>
      </c>
      <c r="W1107" s="3066" t="s">
        <v>3568</v>
      </c>
      <c r="X1107" s="3066">
        <v>2</v>
      </c>
      <c r="Y1107" s="3066">
        <v>907.2</v>
      </c>
      <c r="Z1107" s="3066" t="s">
        <v>3568</v>
      </c>
      <c r="AA1107" s="3066" t="s">
        <v>3560</v>
      </c>
      <c r="AB1107" s="3066" t="s">
        <v>3591</v>
      </c>
      <c r="AC1107" s="3066" t="s">
        <v>3591</v>
      </c>
      <c r="AD1107" s="3066" t="s">
        <v>3591</v>
      </c>
      <c r="AE1107" s="3066" t="s">
        <v>3560</v>
      </c>
      <c r="AF1107" s="3067">
        <v>756</v>
      </c>
      <c r="AG1107" s="3066">
        <v>756</v>
      </c>
      <c r="AH1107" s="3066">
        <v>75.599999999999994</v>
      </c>
      <c r="AI1107" s="3066">
        <v>75.599999999999994</v>
      </c>
      <c r="AJ1107" s="3066">
        <v>60.91</v>
      </c>
      <c r="AK1107" s="3066">
        <v>60.91</v>
      </c>
      <c r="AL1107" s="3066">
        <v>892.51</v>
      </c>
      <c r="AM1107" s="3066">
        <v>892.51</v>
      </c>
      <c r="AN1107" s="3066" t="s">
        <v>3560</v>
      </c>
      <c r="AP1107" s="3068">
        <f t="shared" si="17"/>
        <v>20</v>
      </c>
    </row>
    <row r="1108" spans="2:42" ht="27" customHeight="1">
      <c r="B1108" s="3066">
        <v>1249</v>
      </c>
      <c r="C1108" s="3066" t="s">
        <v>5208</v>
      </c>
      <c r="D1108" s="3066" t="s">
        <v>3972</v>
      </c>
      <c r="E1108" s="3066" t="s">
        <v>6921</v>
      </c>
      <c r="F1108" s="3066" t="s">
        <v>3917</v>
      </c>
      <c r="G1108" s="3066" t="s">
        <v>1373</v>
      </c>
      <c r="H1108" s="3066" t="s">
        <v>3560</v>
      </c>
      <c r="I1108" s="3066" t="s">
        <v>3586</v>
      </c>
      <c r="J1108" s="3066" t="s">
        <v>3587</v>
      </c>
      <c r="K1108" s="3066" t="s">
        <v>3560</v>
      </c>
      <c r="L1108" s="3066" t="s">
        <v>3588</v>
      </c>
      <c r="M1108" s="3066" t="s">
        <v>6922</v>
      </c>
      <c r="N1108" s="3066">
        <v>37.799999999999997</v>
      </c>
      <c r="O1108" s="3066" t="s">
        <v>3590</v>
      </c>
      <c r="P1108" s="3066" t="s">
        <v>3566</v>
      </c>
      <c r="Q1108" s="3066">
        <v>0</v>
      </c>
      <c r="R1108" s="3066">
        <v>0</v>
      </c>
      <c r="S1108" s="3066" t="s">
        <v>3577</v>
      </c>
      <c r="T1108" s="3066">
        <v>20</v>
      </c>
      <c r="U1108" s="3066">
        <v>756</v>
      </c>
      <c r="V1108" s="3066" t="s">
        <v>3560</v>
      </c>
      <c r="W1108" s="3066" t="s">
        <v>3568</v>
      </c>
      <c r="X1108" s="3066">
        <v>2</v>
      </c>
      <c r="Y1108" s="3066">
        <v>907.2</v>
      </c>
      <c r="Z1108" s="3066" t="s">
        <v>3568</v>
      </c>
      <c r="AA1108" s="3066" t="s">
        <v>3560</v>
      </c>
      <c r="AB1108" s="3066" t="s">
        <v>3591</v>
      </c>
      <c r="AC1108" s="3066" t="s">
        <v>3591</v>
      </c>
      <c r="AD1108" s="3066" t="s">
        <v>3591</v>
      </c>
      <c r="AE1108" s="3066" t="s">
        <v>3560</v>
      </c>
      <c r="AF1108" s="3067">
        <v>756</v>
      </c>
      <c r="AG1108" s="3066">
        <v>756</v>
      </c>
      <c r="AH1108" s="3066">
        <v>75.599999999999994</v>
      </c>
      <c r="AI1108" s="3066">
        <v>75.599999999999994</v>
      </c>
      <c r="AJ1108" s="3066">
        <v>143.97</v>
      </c>
      <c r="AK1108" s="3066">
        <v>143.97</v>
      </c>
      <c r="AL1108" s="3066">
        <v>975.57</v>
      </c>
      <c r="AM1108" s="3066">
        <v>975.57</v>
      </c>
      <c r="AN1108" s="3066" t="s">
        <v>3560</v>
      </c>
      <c r="AP1108" s="3068">
        <f t="shared" si="17"/>
        <v>20</v>
      </c>
    </row>
    <row r="1109" spans="2:42" ht="27" customHeight="1">
      <c r="B1109" s="3066">
        <v>1250</v>
      </c>
      <c r="C1109" s="3066" t="s">
        <v>5208</v>
      </c>
      <c r="D1109" s="3066" t="s">
        <v>3972</v>
      </c>
      <c r="E1109" s="3066" t="s">
        <v>6923</v>
      </c>
      <c r="F1109" s="3066" t="s">
        <v>3917</v>
      </c>
      <c r="G1109" s="3066" t="s">
        <v>3560</v>
      </c>
      <c r="H1109" s="3066" t="s">
        <v>3560</v>
      </c>
      <c r="I1109" s="3066" t="s">
        <v>6924</v>
      </c>
      <c r="J1109" s="3066" t="s">
        <v>6924</v>
      </c>
      <c r="K1109" s="3066" t="s">
        <v>3560</v>
      </c>
      <c r="L1109" s="3066" t="s">
        <v>6925</v>
      </c>
      <c r="M1109" s="3066" t="s">
        <v>6926</v>
      </c>
      <c r="N1109" s="3066">
        <v>37.799999999999997</v>
      </c>
      <c r="O1109" s="3066" t="s">
        <v>3785</v>
      </c>
      <c r="P1109" s="3066" t="s">
        <v>3566</v>
      </c>
      <c r="Q1109" s="3066">
        <v>1</v>
      </c>
      <c r="R1109" s="3066">
        <v>4208</v>
      </c>
      <c r="S1109" s="3066" t="s">
        <v>3567</v>
      </c>
      <c r="T1109" s="3066">
        <v>20</v>
      </c>
      <c r="U1109" s="3066">
        <v>756</v>
      </c>
      <c r="V1109" s="3066" t="s">
        <v>3560</v>
      </c>
      <c r="W1109" s="3066" t="s">
        <v>3568</v>
      </c>
      <c r="X1109" s="3066">
        <v>2.2599999999999998</v>
      </c>
      <c r="Y1109" s="3066">
        <v>1027.2</v>
      </c>
      <c r="Z1109" s="3066" t="s">
        <v>3568</v>
      </c>
      <c r="AA1109" s="3066" t="s">
        <v>3560</v>
      </c>
      <c r="AB1109" s="3066" t="s">
        <v>3591</v>
      </c>
      <c r="AC1109" s="3066" t="s">
        <v>3591</v>
      </c>
      <c r="AD1109" s="3066" t="s">
        <v>3591</v>
      </c>
      <c r="AE1109" s="3066" t="s">
        <v>3560</v>
      </c>
      <c r="AF1109" s="3067">
        <v>756</v>
      </c>
      <c r="AG1109" s="3066">
        <v>756</v>
      </c>
      <c r="AH1109" s="3066">
        <v>85.6</v>
      </c>
      <c r="AI1109" s="3066">
        <v>85.6</v>
      </c>
      <c r="AJ1109" s="3066">
        <v>146.85</v>
      </c>
      <c r="AK1109" s="3066">
        <v>146.85</v>
      </c>
      <c r="AL1109" s="3066">
        <v>988.45</v>
      </c>
      <c r="AM1109" s="3066">
        <v>988.45</v>
      </c>
      <c r="AN1109" s="3066" t="s">
        <v>3560</v>
      </c>
      <c r="AP1109" s="3068">
        <f t="shared" si="17"/>
        <v>20</v>
      </c>
    </row>
    <row r="1110" spans="2:42" ht="27" customHeight="1">
      <c r="B1110" s="3066">
        <v>1251</v>
      </c>
      <c r="C1110" s="3066" t="s">
        <v>5208</v>
      </c>
      <c r="D1110" s="3066" t="s">
        <v>3972</v>
      </c>
      <c r="E1110" s="3066" t="s">
        <v>6927</v>
      </c>
      <c r="F1110" s="3066" t="s">
        <v>3917</v>
      </c>
      <c r="G1110" s="3066" t="s">
        <v>1373</v>
      </c>
      <c r="H1110" s="3066" t="s">
        <v>3560</v>
      </c>
      <c r="I1110" s="3066" t="s">
        <v>3586</v>
      </c>
      <c r="J1110" s="3066" t="s">
        <v>3587</v>
      </c>
      <c r="K1110" s="3066" t="s">
        <v>3560</v>
      </c>
      <c r="L1110" s="3066" t="s">
        <v>3588</v>
      </c>
      <c r="M1110" s="3066" t="s">
        <v>6928</v>
      </c>
      <c r="N1110" s="3066">
        <v>37.799999999999997</v>
      </c>
      <c r="O1110" s="3066" t="s">
        <v>3590</v>
      </c>
      <c r="P1110" s="3066" t="s">
        <v>3566</v>
      </c>
      <c r="Q1110" s="3066">
        <v>0</v>
      </c>
      <c r="R1110" s="3066">
        <v>0</v>
      </c>
      <c r="S1110" s="3066" t="s">
        <v>3577</v>
      </c>
      <c r="T1110" s="3066">
        <v>20</v>
      </c>
      <c r="U1110" s="3066">
        <v>756</v>
      </c>
      <c r="V1110" s="3066" t="s">
        <v>3560</v>
      </c>
      <c r="W1110" s="3066" t="s">
        <v>3568</v>
      </c>
      <c r="X1110" s="3066">
        <v>2</v>
      </c>
      <c r="Y1110" s="3066">
        <v>907.2</v>
      </c>
      <c r="Z1110" s="3066" t="s">
        <v>3568</v>
      </c>
      <c r="AA1110" s="3066" t="s">
        <v>3560</v>
      </c>
      <c r="AB1110" s="3066" t="s">
        <v>3591</v>
      </c>
      <c r="AC1110" s="3066" t="s">
        <v>3591</v>
      </c>
      <c r="AD1110" s="3066" t="s">
        <v>3591</v>
      </c>
      <c r="AE1110" s="3066" t="s">
        <v>3560</v>
      </c>
      <c r="AF1110" s="3067">
        <v>756</v>
      </c>
      <c r="AG1110" s="3066">
        <v>756</v>
      </c>
      <c r="AH1110" s="3066">
        <v>75.599999999999994</v>
      </c>
      <c r="AI1110" s="3066">
        <v>75.599999999999994</v>
      </c>
      <c r="AJ1110" s="3066">
        <v>89.73</v>
      </c>
      <c r="AK1110" s="3066">
        <v>89.73</v>
      </c>
      <c r="AL1110" s="3066">
        <v>921.33</v>
      </c>
      <c r="AM1110" s="3066">
        <v>921.33</v>
      </c>
      <c r="AN1110" s="3066" t="s">
        <v>3560</v>
      </c>
      <c r="AP1110" s="3068">
        <f t="shared" si="17"/>
        <v>20</v>
      </c>
    </row>
    <row r="1111" spans="2:42" ht="27" customHeight="1">
      <c r="B1111" s="3066">
        <v>1252</v>
      </c>
      <c r="C1111" s="3066" t="s">
        <v>5208</v>
      </c>
      <c r="D1111" s="3066" t="s">
        <v>3972</v>
      </c>
      <c r="E1111" s="3066" t="s">
        <v>6929</v>
      </c>
      <c r="F1111" s="3066" t="s">
        <v>3917</v>
      </c>
      <c r="G1111" s="3066" t="s">
        <v>1373</v>
      </c>
      <c r="H1111" s="3066" t="s">
        <v>3560</v>
      </c>
      <c r="I1111" s="3066" t="s">
        <v>3586</v>
      </c>
      <c r="J1111" s="3066" t="s">
        <v>3587</v>
      </c>
      <c r="K1111" s="3066" t="s">
        <v>3560</v>
      </c>
      <c r="L1111" s="3066" t="s">
        <v>3588</v>
      </c>
      <c r="M1111" s="3066" t="s">
        <v>6930</v>
      </c>
      <c r="N1111" s="3066">
        <v>37.799999999999997</v>
      </c>
      <c r="O1111" s="3066" t="s">
        <v>3590</v>
      </c>
      <c r="P1111" s="3066" t="s">
        <v>3566</v>
      </c>
      <c r="Q1111" s="3066">
        <v>0</v>
      </c>
      <c r="R1111" s="3066">
        <v>0</v>
      </c>
      <c r="S1111" s="3066" t="s">
        <v>3577</v>
      </c>
      <c r="T1111" s="3066">
        <v>20</v>
      </c>
      <c r="U1111" s="3066">
        <v>756</v>
      </c>
      <c r="V1111" s="3066" t="s">
        <v>3560</v>
      </c>
      <c r="W1111" s="3066" t="s">
        <v>3568</v>
      </c>
      <c r="X1111" s="3066">
        <v>2</v>
      </c>
      <c r="Y1111" s="3066">
        <v>907.2</v>
      </c>
      <c r="Z1111" s="3066" t="s">
        <v>3568</v>
      </c>
      <c r="AA1111" s="3066" t="s">
        <v>3560</v>
      </c>
      <c r="AB1111" s="3066" t="s">
        <v>3591</v>
      </c>
      <c r="AC1111" s="3066" t="s">
        <v>3591</v>
      </c>
      <c r="AD1111" s="3066" t="s">
        <v>3591</v>
      </c>
      <c r="AE1111" s="3066" t="s">
        <v>3560</v>
      </c>
      <c r="AF1111" s="3067">
        <v>756</v>
      </c>
      <c r="AG1111" s="3066">
        <v>756</v>
      </c>
      <c r="AH1111" s="3066">
        <v>75.599999999999994</v>
      </c>
      <c r="AI1111" s="3066">
        <v>75.599999999999994</v>
      </c>
      <c r="AJ1111" s="3066">
        <v>137.46</v>
      </c>
      <c r="AK1111" s="3066">
        <v>137.46</v>
      </c>
      <c r="AL1111" s="3066">
        <v>969.06</v>
      </c>
      <c r="AM1111" s="3066">
        <v>969.06</v>
      </c>
      <c r="AN1111" s="3066" t="s">
        <v>3560</v>
      </c>
      <c r="AP1111" s="3068">
        <f t="shared" si="17"/>
        <v>20</v>
      </c>
    </row>
    <row r="1112" spans="2:42" ht="27" customHeight="1">
      <c r="B1112" s="3066">
        <v>1253</v>
      </c>
      <c r="C1112" s="3066" t="s">
        <v>5208</v>
      </c>
      <c r="D1112" s="3066" t="s">
        <v>3972</v>
      </c>
      <c r="E1112" s="3066" t="s">
        <v>6931</v>
      </c>
      <c r="F1112" s="3066" t="s">
        <v>3917</v>
      </c>
      <c r="G1112" s="3066" t="s">
        <v>3560</v>
      </c>
      <c r="H1112" s="3066" t="s">
        <v>3560</v>
      </c>
      <c r="I1112" s="3066" t="s">
        <v>6932</v>
      </c>
      <c r="J1112" s="3066" t="s">
        <v>6932</v>
      </c>
      <c r="K1112" s="3066" t="s">
        <v>3560</v>
      </c>
      <c r="L1112" s="3066" t="s">
        <v>6933</v>
      </c>
      <c r="M1112" s="3066" t="s">
        <v>6934</v>
      </c>
      <c r="N1112" s="3066">
        <v>37.799999999999997</v>
      </c>
      <c r="O1112" s="3066" t="s">
        <v>3785</v>
      </c>
      <c r="P1112" s="3066" t="s">
        <v>3566</v>
      </c>
      <c r="Q1112" s="3066">
        <v>1</v>
      </c>
      <c r="R1112" s="3066">
        <v>4208</v>
      </c>
      <c r="S1112" s="3066" t="s">
        <v>3567</v>
      </c>
      <c r="T1112" s="3066">
        <v>20</v>
      </c>
      <c r="U1112" s="3066">
        <v>756</v>
      </c>
      <c r="V1112" s="3066" t="s">
        <v>3560</v>
      </c>
      <c r="W1112" s="3066" t="s">
        <v>3568</v>
      </c>
      <c r="X1112" s="3066">
        <v>2.2599999999999998</v>
      </c>
      <c r="Y1112" s="3066">
        <v>1027.2</v>
      </c>
      <c r="Z1112" s="3066" t="s">
        <v>3568</v>
      </c>
      <c r="AA1112" s="3066" t="s">
        <v>3560</v>
      </c>
      <c r="AB1112" s="3066" t="s">
        <v>3591</v>
      </c>
      <c r="AC1112" s="3066" t="s">
        <v>3591</v>
      </c>
      <c r="AD1112" s="3066" t="s">
        <v>3591</v>
      </c>
      <c r="AE1112" s="3066" t="s">
        <v>3560</v>
      </c>
      <c r="AF1112" s="3067">
        <v>756</v>
      </c>
      <c r="AG1112" s="3066">
        <v>756</v>
      </c>
      <c r="AH1112" s="3066">
        <v>85.6</v>
      </c>
      <c r="AI1112" s="3066">
        <v>85.6</v>
      </c>
      <c r="AJ1112" s="3066">
        <v>57.96</v>
      </c>
      <c r="AK1112" s="3066">
        <v>57.96</v>
      </c>
      <c r="AL1112" s="3066">
        <v>899.56</v>
      </c>
      <c r="AM1112" s="3066">
        <v>899.56</v>
      </c>
      <c r="AN1112" s="3066" t="s">
        <v>3560</v>
      </c>
      <c r="AP1112" s="3068">
        <f t="shared" si="17"/>
        <v>20</v>
      </c>
    </row>
    <row r="1113" spans="2:42" ht="27" customHeight="1">
      <c r="B1113" s="3066">
        <v>1254</v>
      </c>
      <c r="C1113" s="3066" t="s">
        <v>3106</v>
      </c>
      <c r="D1113" s="3066" t="s">
        <v>4019</v>
      </c>
      <c r="E1113" s="3066" t="s">
        <v>6935</v>
      </c>
      <c r="F1113" s="3066" t="s">
        <v>3559</v>
      </c>
      <c r="G1113" s="3066" t="s">
        <v>3560</v>
      </c>
      <c r="H1113" s="3066" t="s">
        <v>3560</v>
      </c>
      <c r="I1113" s="3066" t="s">
        <v>3560</v>
      </c>
      <c r="J1113" s="3066" t="s">
        <v>3560</v>
      </c>
      <c r="K1113" s="3066" t="s">
        <v>3560</v>
      </c>
      <c r="L1113" s="3066" t="s">
        <v>3560</v>
      </c>
      <c r="M1113" s="3066" t="s">
        <v>6936</v>
      </c>
      <c r="N1113" s="3066">
        <v>1200</v>
      </c>
      <c r="O1113" s="3066" t="s">
        <v>3560</v>
      </c>
      <c r="P1113" s="3066" t="s">
        <v>3560</v>
      </c>
      <c r="Q1113" s="3066">
        <v>0</v>
      </c>
      <c r="R1113" s="3066">
        <v>0</v>
      </c>
      <c r="S1113" s="3066" t="s">
        <v>3577</v>
      </c>
      <c r="T1113" s="3066">
        <v>0</v>
      </c>
      <c r="U1113" s="3066">
        <v>0</v>
      </c>
      <c r="V1113" s="3066" t="s">
        <v>3560</v>
      </c>
      <c r="W1113" s="3066" t="s">
        <v>3568</v>
      </c>
      <c r="X1113" s="3066">
        <v>0</v>
      </c>
      <c r="Y1113" s="3066">
        <v>0</v>
      </c>
      <c r="Z1113" s="3066" t="s">
        <v>3568</v>
      </c>
      <c r="AA1113" s="3066" t="s">
        <v>3560</v>
      </c>
      <c r="AB1113" s="3066" t="s">
        <v>3560</v>
      </c>
      <c r="AC1113" s="3066" t="s">
        <v>3560</v>
      </c>
      <c r="AD1113" s="3066" t="s">
        <v>3560</v>
      </c>
      <c r="AE1113" s="3066" t="s">
        <v>3560</v>
      </c>
      <c r="AF1113" s="3067">
        <v>0</v>
      </c>
      <c r="AG1113" s="3066">
        <v>0</v>
      </c>
      <c r="AH1113" s="3066">
        <v>0</v>
      </c>
      <c r="AI1113" s="3066">
        <v>0</v>
      </c>
      <c r="AJ1113" s="3066">
        <v>0</v>
      </c>
      <c r="AK1113" s="3066">
        <v>0</v>
      </c>
      <c r="AL1113" s="3066">
        <v>0</v>
      </c>
      <c r="AM1113" s="3066">
        <v>0</v>
      </c>
      <c r="AN1113" s="3066" t="s">
        <v>3560</v>
      </c>
      <c r="AP1113" s="3068">
        <f t="shared" si="17"/>
        <v>0</v>
      </c>
    </row>
    <row r="1114" spans="2:42" ht="27" customHeight="1">
      <c r="B1114" s="3066">
        <v>1255</v>
      </c>
      <c r="C1114" s="3066" t="s">
        <v>3106</v>
      </c>
      <c r="D1114" s="3066" t="s">
        <v>4019</v>
      </c>
      <c r="E1114" s="3066" t="s">
        <v>6937</v>
      </c>
      <c r="F1114" s="3066" t="s">
        <v>3559</v>
      </c>
      <c r="G1114" s="3066" t="s">
        <v>3560</v>
      </c>
      <c r="H1114" s="3066" t="s">
        <v>3560</v>
      </c>
      <c r="I1114" s="3066" t="s">
        <v>3560</v>
      </c>
      <c r="J1114" s="3066" t="s">
        <v>3560</v>
      </c>
      <c r="K1114" s="3066" t="s">
        <v>3560</v>
      </c>
      <c r="L1114" s="3066" t="s">
        <v>3560</v>
      </c>
      <c r="M1114" s="3066" t="s">
        <v>6938</v>
      </c>
      <c r="N1114" s="3066">
        <v>100</v>
      </c>
      <c r="O1114" s="3066" t="s">
        <v>3560</v>
      </c>
      <c r="P1114" s="3066" t="s">
        <v>3560</v>
      </c>
      <c r="Q1114" s="3066">
        <v>0</v>
      </c>
      <c r="R1114" s="3066">
        <v>0</v>
      </c>
      <c r="S1114" s="3066" t="s">
        <v>3577</v>
      </c>
      <c r="T1114" s="3066">
        <v>0</v>
      </c>
      <c r="U1114" s="3066">
        <v>0</v>
      </c>
      <c r="V1114" s="3066" t="s">
        <v>3560</v>
      </c>
      <c r="W1114" s="3066" t="s">
        <v>3568</v>
      </c>
      <c r="X1114" s="3066">
        <v>0</v>
      </c>
      <c r="Y1114" s="3066">
        <v>0</v>
      </c>
      <c r="Z1114" s="3066" t="s">
        <v>3568</v>
      </c>
      <c r="AA1114" s="3066" t="s">
        <v>3560</v>
      </c>
      <c r="AB1114" s="3066" t="s">
        <v>3560</v>
      </c>
      <c r="AC1114" s="3066" t="s">
        <v>3560</v>
      </c>
      <c r="AD1114" s="3066" t="s">
        <v>3560</v>
      </c>
      <c r="AE1114" s="3066" t="s">
        <v>3560</v>
      </c>
      <c r="AF1114" s="3067">
        <v>0</v>
      </c>
      <c r="AG1114" s="3066">
        <v>0</v>
      </c>
      <c r="AH1114" s="3066">
        <v>0</v>
      </c>
      <c r="AI1114" s="3066">
        <v>0</v>
      </c>
      <c r="AJ1114" s="3066">
        <v>0</v>
      </c>
      <c r="AK1114" s="3066">
        <v>0</v>
      </c>
      <c r="AL1114" s="3066">
        <v>0</v>
      </c>
      <c r="AM1114" s="3066">
        <v>0</v>
      </c>
      <c r="AN1114" s="3066" t="s">
        <v>3560</v>
      </c>
      <c r="AP1114" s="3068">
        <f t="shared" si="17"/>
        <v>0</v>
      </c>
    </row>
    <row r="1115" spans="2:42" ht="27" customHeight="1">
      <c r="B1115" s="3066">
        <v>1256</v>
      </c>
      <c r="C1115" s="3066" t="s">
        <v>3106</v>
      </c>
      <c r="D1115" s="3066" t="s">
        <v>4019</v>
      </c>
      <c r="E1115" s="3066" t="s">
        <v>6939</v>
      </c>
      <c r="F1115" s="3066" t="s">
        <v>3559</v>
      </c>
      <c r="G1115" s="3066" t="s">
        <v>3560</v>
      </c>
      <c r="H1115" s="3066" t="s">
        <v>3560</v>
      </c>
      <c r="I1115" s="3066" t="s">
        <v>3560</v>
      </c>
      <c r="J1115" s="3066" t="s">
        <v>3560</v>
      </c>
      <c r="K1115" s="3066" t="s">
        <v>3560</v>
      </c>
      <c r="L1115" s="3066" t="s">
        <v>3560</v>
      </c>
      <c r="M1115" s="3066" t="s">
        <v>6940</v>
      </c>
      <c r="N1115" s="3066">
        <v>150</v>
      </c>
      <c r="O1115" s="3066" t="s">
        <v>3560</v>
      </c>
      <c r="P1115" s="3066" t="s">
        <v>3560</v>
      </c>
      <c r="Q1115" s="3066">
        <v>0</v>
      </c>
      <c r="R1115" s="3066">
        <v>0</v>
      </c>
      <c r="S1115" s="3066" t="s">
        <v>3577</v>
      </c>
      <c r="T1115" s="3066">
        <v>0</v>
      </c>
      <c r="U1115" s="3066">
        <v>0</v>
      </c>
      <c r="V1115" s="3066" t="s">
        <v>3560</v>
      </c>
      <c r="W1115" s="3066" t="s">
        <v>3568</v>
      </c>
      <c r="X1115" s="3066">
        <v>0</v>
      </c>
      <c r="Y1115" s="3066">
        <v>0</v>
      </c>
      <c r="Z1115" s="3066" t="s">
        <v>3568</v>
      </c>
      <c r="AA1115" s="3066" t="s">
        <v>3560</v>
      </c>
      <c r="AB1115" s="3066" t="s">
        <v>3560</v>
      </c>
      <c r="AC1115" s="3066" t="s">
        <v>3560</v>
      </c>
      <c r="AD1115" s="3066" t="s">
        <v>3560</v>
      </c>
      <c r="AE1115" s="3066" t="s">
        <v>3560</v>
      </c>
      <c r="AF1115" s="3067">
        <v>0</v>
      </c>
      <c r="AG1115" s="3066">
        <v>0</v>
      </c>
      <c r="AH1115" s="3066">
        <v>0</v>
      </c>
      <c r="AI1115" s="3066">
        <v>0</v>
      </c>
      <c r="AJ1115" s="3066">
        <v>0</v>
      </c>
      <c r="AK1115" s="3066">
        <v>0</v>
      </c>
      <c r="AL1115" s="3066">
        <v>0</v>
      </c>
      <c r="AM1115" s="3066">
        <v>0</v>
      </c>
      <c r="AN1115" s="3066" t="s">
        <v>3560</v>
      </c>
      <c r="AP1115" s="3068">
        <f t="shared" si="17"/>
        <v>0</v>
      </c>
    </row>
    <row r="1116" spans="2:42" ht="27" customHeight="1">
      <c r="B1116" s="3066">
        <v>1257</v>
      </c>
      <c r="C1116" s="3066" t="s">
        <v>3106</v>
      </c>
      <c r="D1116" s="3066" t="s">
        <v>4019</v>
      </c>
      <c r="E1116" s="3066" t="s">
        <v>6941</v>
      </c>
      <c r="F1116" s="3066" t="s">
        <v>3559</v>
      </c>
      <c r="G1116" s="3066" t="s">
        <v>3560</v>
      </c>
      <c r="H1116" s="3066" t="s">
        <v>3560</v>
      </c>
      <c r="I1116" s="3066" t="s">
        <v>3560</v>
      </c>
      <c r="J1116" s="3066" t="s">
        <v>3560</v>
      </c>
      <c r="K1116" s="3066" t="s">
        <v>3560</v>
      </c>
      <c r="L1116" s="3066" t="s">
        <v>3560</v>
      </c>
      <c r="M1116" s="3066" t="s">
        <v>6942</v>
      </c>
      <c r="N1116" s="3066">
        <v>300</v>
      </c>
      <c r="O1116" s="3066" t="s">
        <v>3560</v>
      </c>
      <c r="P1116" s="3066" t="s">
        <v>3560</v>
      </c>
      <c r="Q1116" s="3066">
        <v>0</v>
      </c>
      <c r="R1116" s="3066">
        <v>0</v>
      </c>
      <c r="S1116" s="3066" t="s">
        <v>3577</v>
      </c>
      <c r="T1116" s="3066">
        <v>0</v>
      </c>
      <c r="U1116" s="3066">
        <v>0</v>
      </c>
      <c r="V1116" s="3066" t="s">
        <v>3560</v>
      </c>
      <c r="W1116" s="3066" t="s">
        <v>3568</v>
      </c>
      <c r="X1116" s="3066">
        <v>0</v>
      </c>
      <c r="Y1116" s="3066">
        <v>0</v>
      </c>
      <c r="Z1116" s="3066" t="s">
        <v>3568</v>
      </c>
      <c r="AA1116" s="3066" t="s">
        <v>3560</v>
      </c>
      <c r="AB1116" s="3066" t="s">
        <v>3560</v>
      </c>
      <c r="AC1116" s="3066" t="s">
        <v>3560</v>
      </c>
      <c r="AD1116" s="3066" t="s">
        <v>3560</v>
      </c>
      <c r="AE1116" s="3066" t="s">
        <v>3560</v>
      </c>
      <c r="AF1116" s="3067">
        <v>0</v>
      </c>
      <c r="AG1116" s="3066">
        <v>0</v>
      </c>
      <c r="AH1116" s="3066">
        <v>0</v>
      </c>
      <c r="AI1116" s="3066">
        <v>0</v>
      </c>
      <c r="AJ1116" s="3066">
        <v>0</v>
      </c>
      <c r="AK1116" s="3066">
        <v>0</v>
      </c>
      <c r="AL1116" s="3066">
        <v>0</v>
      </c>
      <c r="AM1116" s="3066">
        <v>0</v>
      </c>
      <c r="AN1116" s="3066" t="s">
        <v>3560</v>
      </c>
      <c r="AP1116" s="3068">
        <f t="shared" si="17"/>
        <v>0</v>
      </c>
    </row>
    <row r="1117" spans="2:42" ht="27" customHeight="1">
      <c r="B1117" s="3066">
        <v>1258</v>
      </c>
      <c r="C1117" s="3066" t="s">
        <v>5490</v>
      </c>
      <c r="D1117" s="3066" t="s">
        <v>3560</v>
      </c>
      <c r="E1117" s="3066" t="s">
        <v>6943</v>
      </c>
      <c r="F1117" s="3066" t="s">
        <v>3917</v>
      </c>
      <c r="G1117" s="3066" t="s">
        <v>1373</v>
      </c>
      <c r="H1117" s="3066" t="s">
        <v>3560</v>
      </c>
      <c r="I1117" s="3066" t="s">
        <v>5563</v>
      </c>
      <c r="J1117" s="3066" t="s">
        <v>3560</v>
      </c>
      <c r="K1117" s="3066" t="s">
        <v>3560</v>
      </c>
      <c r="L1117" s="3066" t="s">
        <v>5564</v>
      </c>
      <c r="M1117" s="3066" t="s">
        <v>6944</v>
      </c>
      <c r="N1117" s="3066">
        <v>7</v>
      </c>
      <c r="O1117" s="3066" t="s">
        <v>3785</v>
      </c>
      <c r="P1117" s="3066" t="s">
        <v>3566</v>
      </c>
      <c r="Q1117" s="3066">
        <v>1</v>
      </c>
      <c r="R1117" s="3066">
        <v>820</v>
      </c>
      <c r="S1117" s="3066" t="s">
        <v>3567</v>
      </c>
      <c r="T1117" s="3066">
        <v>20</v>
      </c>
      <c r="U1117" s="3066">
        <v>140</v>
      </c>
      <c r="V1117" s="3066" t="s">
        <v>3560</v>
      </c>
      <c r="W1117" s="3066" t="s">
        <v>3568</v>
      </c>
      <c r="X1117" s="3066">
        <v>3.43</v>
      </c>
      <c r="Y1117" s="3066">
        <v>288</v>
      </c>
      <c r="Z1117" s="3066" t="s">
        <v>3568</v>
      </c>
      <c r="AA1117" s="3066" t="s">
        <v>3560</v>
      </c>
      <c r="AB1117" s="3066" t="s">
        <v>3591</v>
      </c>
      <c r="AC1117" s="3066" t="s">
        <v>3591</v>
      </c>
      <c r="AD1117" s="3066" t="s">
        <v>3591</v>
      </c>
      <c r="AE1117" s="3066" t="s">
        <v>3560</v>
      </c>
      <c r="AF1117" s="3067">
        <v>140</v>
      </c>
      <c r="AG1117" s="3066">
        <v>140</v>
      </c>
      <c r="AH1117" s="3066">
        <v>24</v>
      </c>
      <c r="AI1117" s="3066">
        <v>24</v>
      </c>
      <c r="AJ1117" s="3066">
        <v>0</v>
      </c>
      <c r="AK1117" s="3066">
        <v>0</v>
      </c>
      <c r="AL1117" s="3066">
        <v>164</v>
      </c>
      <c r="AM1117" s="3066">
        <v>164</v>
      </c>
      <c r="AN1117" s="3066" t="s">
        <v>3560</v>
      </c>
      <c r="AP1117" s="3068">
        <f t="shared" si="17"/>
        <v>20</v>
      </c>
    </row>
    <row r="1118" spans="2:42" ht="27" customHeight="1">
      <c r="B1118" s="3066">
        <v>1259</v>
      </c>
      <c r="C1118" s="3066" t="s">
        <v>3710</v>
      </c>
      <c r="D1118" s="3066" t="s">
        <v>3560</v>
      </c>
      <c r="E1118" s="3066" t="s">
        <v>6945</v>
      </c>
      <c r="F1118" s="3066" t="s">
        <v>3559</v>
      </c>
      <c r="G1118" s="3066" t="s">
        <v>3560</v>
      </c>
      <c r="H1118" s="3066" t="s">
        <v>3560</v>
      </c>
      <c r="I1118" s="3066" t="s">
        <v>6946</v>
      </c>
      <c r="J1118" s="3066" t="s">
        <v>6947</v>
      </c>
      <c r="K1118" s="3066" t="s">
        <v>3560</v>
      </c>
      <c r="L1118" s="3066" t="s">
        <v>6948</v>
      </c>
      <c r="M1118" s="3066" t="s">
        <v>6949</v>
      </c>
      <c r="N1118" s="3066">
        <v>100</v>
      </c>
      <c r="O1118" s="3066" t="s">
        <v>6950</v>
      </c>
      <c r="P1118" s="3066" t="s">
        <v>3566</v>
      </c>
      <c r="Q1118" s="3066">
        <v>0</v>
      </c>
      <c r="R1118" s="3066">
        <v>7350</v>
      </c>
      <c r="S1118" s="3066" t="s">
        <v>3567</v>
      </c>
      <c r="T1118" s="3066">
        <v>22</v>
      </c>
      <c r="U1118" s="3066">
        <v>2200</v>
      </c>
      <c r="V1118" s="3066" t="s">
        <v>3560</v>
      </c>
      <c r="W1118" s="3066" t="s">
        <v>3568</v>
      </c>
      <c r="X1118" s="3066">
        <v>2.5</v>
      </c>
      <c r="Y1118" s="3066">
        <v>3000</v>
      </c>
      <c r="Z1118" s="3066" t="s">
        <v>3568</v>
      </c>
      <c r="AA1118" s="3066" t="s">
        <v>3560</v>
      </c>
      <c r="AB1118" s="3066" t="s">
        <v>3591</v>
      </c>
      <c r="AC1118" s="3066" t="s">
        <v>3591</v>
      </c>
      <c r="AD1118" s="3066" t="s">
        <v>3591</v>
      </c>
      <c r="AE1118" s="3066" t="s">
        <v>3560</v>
      </c>
      <c r="AF1118" s="3067">
        <v>2200</v>
      </c>
      <c r="AG1118" s="3066">
        <v>0</v>
      </c>
      <c r="AH1118" s="3066">
        <v>250</v>
      </c>
      <c r="AI1118" s="3066">
        <v>0</v>
      </c>
      <c r="AJ1118" s="3066">
        <v>0</v>
      </c>
      <c r="AK1118" s="3066">
        <v>0</v>
      </c>
      <c r="AL1118" s="3066">
        <v>2450</v>
      </c>
      <c r="AM1118" s="3066">
        <v>0</v>
      </c>
      <c r="AN1118" s="3066" t="s">
        <v>3560</v>
      </c>
      <c r="AP1118" s="3068">
        <f t="shared" si="17"/>
        <v>22</v>
      </c>
    </row>
    <row r="1119" spans="2:42" ht="27" customHeight="1">
      <c r="B1119" s="3066">
        <v>1260</v>
      </c>
      <c r="C1119" s="3066" t="s">
        <v>5748</v>
      </c>
      <c r="D1119" s="3066" t="s">
        <v>4209</v>
      </c>
      <c r="E1119" s="3066" t="s">
        <v>6951</v>
      </c>
      <c r="F1119" s="3066" t="s">
        <v>3917</v>
      </c>
      <c r="G1119" s="3066" t="s">
        <v>1373</v>
      </c>
      <c r="H1119" s="3066" t="s">
        <v>3560</v>
      </c>
      <c r="I1119" s="3066" t="s">
        <v>6818</v>
      </c>
      <c r="J1119" s="3066" t="s">
        <v>6819</v>
      </c>
      <c r="K1119" s="3066" t="s">
        <v>3560</v>
      </c>
      <c r="L1119" s="3066" t="s">
        <v>6820</v>
      </c>
      <c r="M1119" s="3066" t="s">
        <v>6952</v>
      </c>
      <c r="N1119" s="3066">
        <v>35.6</v>
      </c>
      <c r="O1119" s="3066" t="s">
        <v>3619</v>
      </c>
      <c r="P1119" s="3066" t="s">
        <v>3566</v>
      </c>
      <c r="Q1119" s="3066">
        <v>1</v>
      </c>
      <c r="R1119" s="3066">
        <v>0</v>
      </c>
      <c r="S1119" s="3066" t="s">
        <v>3577</v>
      </c>
      <c r="T1119" s="3066">
        <v>20</v>
      </c>
      <c r="U1119" s="3066">
        <v>712</v>
      </c>
      <c r="V1119" s="3066" t="s">
        <v>3560</v>
      </c>
      <c r="W1119" s="3066" t="s">
        <v>3568</v>
      </c>
      <c r="X1119" s="3066">
        <v>2</v>
      </c>
      <c r="Y1119" s="3066">
        <v>854.4</v>
      </c>
      <c r="Z1119" s="3066" t="s">
        <v>3568</v>
      </c>
      <c r="AA1119" s="3066" t="s">
        <v>3560</v>
      </c>
      <c r="AB1119" s="3066" t="s">
        <v>3584</v>
      </c>
      <c r="AC1119" s="3066" t="s">
        <v>3584</v>
      </c>
      <c r="AD1119" s="3066" t="s">
        <v>3584</v>
      </c>
      <c r="AE1119" s="3066" t="s">
        <v>3560</v>
      </c>
      <c r="AF1119" s="3067">
        <v>712</v>
      </c>
      <c r="AG1119" s="3066">
        <v>0</v>
      </c>
      <c r="AH1119" s="3066">
        <v>71.2</v>
      </c>
      <c r="AI1119" s="3066">
        <v>0</v>
      </c>
      <c r="AJ1119" s="3066">
        <v>114.51</v>
      </c>
      <c r="AK1119" s="3066">
        <v>0</v>
      </c>
      <c r="AL1119" s="3066">
        <v>897.71</v>
      </c>
      <c r="AM1119" s="3066">
        <v>0</v>
      </c>
      <c r="AN1119" s="3066" t="s">
        <v>3560</v>
      </c>
      <c r="AP1119" s="3068">
        <f t="shared" si="17"/>
        <v>20</v>
      </c>
    </row>
    <row r="1120" spans="2:42" ht="27" customHeight="1">
      <c r="B1120" s="3066">
        <v>1261</v>
      </c>
      <c r="C1120" s="3066" t="s">
        <v>5748</v>
      </c>
      <c r="D1120" s="3066" t="s">
        <v>4209</v>
      </c>
      <c r="E1120" s="3066" t="s">
        <v>6953</v>
      </c>
      <c r="F1120" s="3066" t="s">
        <v>3917</v>
      </c>
      <c r="G1120" s="3066" t="s">
        <v>1373</v>
      </c>
      <c r="H1120" s="3066" t="s">
        <v>3560</v>
      </c>
      <c r="I1120" s="3066" t="s">
        <v>6818</v>
      </c>
      <c r="J1120" s="3066" t="s">
        <v>6819</v>
      </c>
      <c r="K1120" s="3066" t="s">
        <v>3560</v>
      </c>
      <c r="L1120" s="3066" t="s">
        <v>6820</v>
      </c>
      <c r="M1120" s="3066" t="s">
        <v>6954</v>
      </c>
      <c r="N1120" s="3066">
        <v>35.6</v>
      </c>
      <c r="O1120" s="3066" t="s">
        <v>3619</v>
      </c>
      <c r="P1120" s="3066" t="s">
        <v>3566</v>
      </c>
      <c r="Q1120" s="3066">
        <v>1</v>
      </c>
      <c r="R1120" s="3066">
        <v>0</v>
      </c>
      <c r="S1120" s="3066" t="s">
        <v>3577</v>
      </c>
      <c r="T1120" s="3066">
        <v>20</v>
      </c>
      <c r="U1120" s="3066">
        <v>712</v>
      </c>
      <c r="V1120" s="3066" t="s">
        <v>3560</v>
      </c>
      <c r="W1120" s="3066" t="s">
        <v>3568</v>
      </c>
      <c r="X1120" s="3066">
        <v>2</v>
      </c>
      <c r="Y1120" s="3066">
        <v>854.4</v>
      </c>
      <c r="Z1120" s="3066" t="s">
        <v>3568</v>
      </c>
      <c r="AA1120" s="3066" t="s">
        <v>3560</v>
      </c>
      <c r="AB1120" s="3066" t="s">
        <v>3584</v>
      </c>
      <c r="AC1120" s="3066" t="s">
        <v>3584</v>
      </c>
      <c r="AD1120" s="3066" t="s">
        <v>3584</v>
      </c>
      <c r="AE1120" s="3066" t="s">
        <v>3560</v>
      </c>
      <c r="AF1120" s="3067">
        <v>712</v>
      </c>
      <c r="AG1120" s="3066">
        <v>0</v>
      </c>
      <c r="AH1120" s="3066">
        <v>71.2</v>
      </c>
      <c r="AI1120" s="3066">
        <v>0</v>
      </c>
      <c r="AJ1120" s="3066">
        <v>35.659999999999997</v>
      </c>
      <c r="AK1120" s="3066">
        <v>0</v>
      </c>
      <c r="AL1120" s="3066">
        <v>818.86</v>
      </c>
      <c r="AM1120" s="3066">
        <v>0</v>
      </c>
      <c r="AN1120" s="3066" t="s">
        <v>3560</v>
      </c>
      <c r="AP1120" s="3068">
        <f t="shared" si="17"/>
        <v>20</v>
      </c>
    </row>
    <row r="1121" spans="2:42" ht="27" customHeight="1">
      <c r="B1121" s="3066">
        <v>1262</v>
      </c>
      <c r="C1121" s="3066" t="s">
        <v>5748</v>
      </c>
      <c r="D1121" s="3066" t="s">
        <v>4209</v>
      </c>
      <c r="E1121" s="3066" t="s">
        <v>6955</v>
      </c>
      <c r="F1121" s="3066" t="s">
        <v>3917</v>
      </c>
      <c r="G1121" s="3066" t="s">
        <v>1373</v>
      </c>
      <c r="H1121" s="3066" t="s">
        <v>3560</v>
      </c>
      <c r="I1121" s="3066" t="s">
        <v>3598</v>
      </c>
      <c r="J1121" s="3066" t="s">
        <v>3599</v>
      </c>
      <c r="K1121" s="3066" t="s">
        <v>3560</v>
      </c>
      <c r="L1121" s="3066" t="s">
        <v>3600</v>
      </c>
      <c r="M1121" s="3066" t="s">
        <v>6956</v>
      </c>
      <c r="N1121" s="3066">
        <v>35.6</v>
      </c>
      <c r="O1121" s="3066" t="s">
        <v>3942</v>
      </c>
      <c r="P1121" s="3066" t="s">
        <v>3566</v>
      </c>
      <c r="Q1121" s="3066">
        <v>0</v>
      </c>
      <c r="R1121" s="3066">
        <v>0</v>
      </c>
      <c r="S1121" s="3066" t="s">
        <v>3577</v>
      </c>
      <c r="T1121" s="3066">
        <v>21</v>
      </c>
      <c r="U1121" s="3066">
        <v>747.6</v>
      </c>
      <c r="V1121" s="3066" t="s">
        <v>3560</v>
      </c>
      <c r="W1121" s="3066" t="s">
        <v>3568</v>
      </c>
      <c r="X1121" s="3066">
        <v>2</v>
      </c>
      <c r="Y1121" s="3066">
        <v>854.4</v>
      </c>
      <c r="Z1121" s="3066" t="s">
        <v>3568</v>
      </c>
      <c r="AA1121" s="3066" t="s">
        <v>3560</v>
      </c>
      <c r="AB1121" s="3066" t="s">
        <v>3943</v>
      </c>
      <c r="AC1121" s="3066" t="s">
        <v>3943</v>
      </c>
      <c r="AD1121" s="3066" t="s">
        <v>3943</v>
      </c>
      <c r="AE1121" s="3066" t="s">
        <v>3560</v>
      </c>
      <c r="AF1121" s="3067">
        <v>0</v>
      </c>
      <c r="AG1121" s="3066">
        <v>0</v>
      </c>
      <c r="AH1121" s="3066">
        <v>0</v>
      </c>
      <c r="AI1121" s="3066">
        <v>0</v>
      </c>
      <c r="AJ1121" s="3066">
        <v>0</v>
      </c>
      <c r="AK1121" s="3066">
        <v>0</v>
      </c>
      <c r="AL1121" s="3066">
        <v>0</v>
      </c>
      <c r="AM1121" s="3066">
        <v>0</v>
      </c>
      <c r="AN1121" s="3066" t="s">
        <v>3560</v>
      </c>
      <c r="AP1121" s="3068">
        <f t="shared" si="17"/>
        <v>0</v>
      </c>
    </row>
    <row r="1122" spans="2:42" ht="27" customHeight="1">
      <c r="B1122" s="3066">
        <v>1263</v>
      </c>
      <c r="C1122" s="3066" t="s">
        <v>5748</v>
      </c>
      <c r="D1122" s="3066" t="s">
        <v>4209</v>
      </c>
      <c r="E1122" s="3066" t="s">
        <v>6957</v>
      </c>
      <c r="F1122" s="3066" t="s">
        <v>3917</v>
      </c>
      <c r="G1122" s="3066" t="s">
        <v>1373</v>
      </c>
      <c r="H1122" s="3066" t="s">
        <v>3560</v>
      </c>
      <c r="I1122" s="3066" t="s">
        <v>3598</v>
      </c>
      <c r="J1122" s="3066" t="s">
        <v>3599</v>
      </c>
      <c r="K1122" s="3066" t="s">
        <v>3560</v>
      </c>
      <c r="L1122" s="3066" t="s">
        <v>3600</v>
      </c>
      <c r="M1122" s="3066" t="s">
        <v>6958</v>
      </c>
      <c r="N1122" s="3066">
        <v>35.6</v>
      </c>
      <c r="O1122" s="3066" t="s">
        <v>3942</v>
      </c>
      <c r="P1122" s="3066" t="s">
        <v>3566</v>
      </c>
      <c r="Q1122" s="3066">
        <v>0</v>
      </c>
      <c r="R1122" s="3066">
        <v>10087.799999999999</v>
      </c>
      <c r="S1122" s="3066" t="s">
        <v>3567</v>
      </c>
      <c r="T1122" s="3066">
        <v>21</v>
      </c>
      <c r="U1122" s="3066">
        <v>747.6</v>
      </c>
      <c r="V1122" s="3066" t="s">
        <v>3560</v>
      </c>
      <c r="W1122" s="3066" t="s">
        <v>3568</v>
      </c>
      <c r="X1122" s="3066">
        <v>2</v>
      </c>
      <c r="Y1122" s="3066">
        <v>854.4</v>
      </c>
      <c r="Z1122" s="3066" t="s">
        <v>3568</v>
      </c>
      <c r="AA1122" s="3066" t="s">
        <v>3560</v>
      </c>
      <c r="AB1122" s="3066" t="s">
        <v>3943</v>
      </c>
      <c r="AC1122" s="3066" t="s">
        <v>3943</v>
      </c>
      <c r="AD1122" s="3066" t="s">
        <v>3943</v>
      </c>
      <c r="AE1122" s="3066" t="s">
        <v>3560</v>
      </c>
      <c r="AF1122" s="3067">
        <v>0</v>
      </c>
      <c r="AG1122" s="3066">
        <v>0</v>
      </c>
      <c r="AH1122" s="3066">
        <v>0</v>
      </c>
      <c r="AI1122" s="3066">
        <v>0</v>
      </c>
      <c r="AJ1122" s="3066">
        <v>0</v>
      </c>
      <c r="AK1122" s="3066">
        <v>0</v>
      </c>
      <c r="AL1122" s="3066">
        <v>0</v>
      </c>
      <c r="AM1122" s="3066">
        <v>0</v>
      </c>
      <c r="AN1122" s="3066" t="s">
        <v>3560</v>
      </c>
      <c r="AP1122" s="3068">
        <f t="shared" si="17"/>
        <v>0</v>
      </c>
    </row>
    <row r="1123" spans="2:42" ht="27" customHeight="1">
      <c r="B1123" s="3066">
        <v>1264</v>
      </c>
      <c r="C1123" s="3066" t="s">
        <v>5748</v>
      </c>
      <c r="D1123" s="3066" t="s">
        <v>4209</v>
      </c>
      <c r="E1123" s="3066" t="s">
        <v>6959</v>
      </c>
      <c r="F1123" s="3066" t="s">
        <v>3917</v>
      </c>
      <c r="G1123" s="3066" t="s">
        <v>1373</v>
      </c>
      <c r="H1123" s="3066" t="s">
        <v>3560</v>
      </c>
      <c r="I1123" s="3066" t="s">
        <v>6818</v>
      </c>
      <c r="J1123" s="3066" t="s">
        <v>6819</v>
      </c>
      <c r="K1123" s="3066" t="s">
        <v>3560</v>
      </c>
      <c r="L1123" s="3066" t="s">
        <v>6820</v>
      </c>
      <c r="M1123" s="3066" t="s">
        <v>6960</v>
      </c>
      <c r="N1123" s="3066">
        <v>35.6</v>
      </c>
      <c r="O1123" s="3066" t="s">
        <v>3619</v>
      </c>
      <c r="P1123" s="3066" t="s">
        <v>3566</v>
      </c>
      <c r="Q1123" s="3066">
        <v>1</v>
      </c>
      <c r="R1123" s="3066">
        <v>0</v>
      </c>
      <c r="S1123" s="3066" t="s">
        <v>3577</v>
      </c>
      <c r="T1123" s="3066">
        <v>20</v>
      </c>
      <c r="U1123" s="3066">
        <v>712</v>
      </c>
      <c r="V1123" s="3066" t="s">
        <v>3560</v>
      </c>
      <c r="W1123" s="3066" t="s">
        <v>3568</v>
      </c>
      <c r="X1123" s="3066">
        <v>2</v>
      </c>
      <c r="Y1123" s="3066">
        <v>854.4</v>
      </c>
      <c r="Z1123" s="3066" t="s">
        <v>3568</v>
      </c>
      <c r="AA1123" s="3066" t="s">
        <v>3560</v>
      </c>
      <c r="AB1123" s="3066" t="s">
        <v>3584</v>
      </c>
      <c r="AC1123" s="3066" t="s">
        <v>3584</v>
      </c>
      <c r="AD1123" s="3066" t="s">
        <v>3584</v>
      </c>
      <c r="AE1123" s="3066" t="s">
        <v>3560</v>
      </c>
      <c r="AF1123" s="3067">
        <v>712</v>
      </c>
      <c r="AG1123" s="3066">
        <v>0</v>
      </c>
      <c r="AH1123" s="3066">
        <v>71.2</v>
      </c>
      <c r="AI1123" s="3066">
        <v>0</v>
      </c>
      <c r="AJ1123" s="3066">
        <v>198.37</v>
      </c>
      <c r="AK1123" s="3066">
        <v>0</v>
      </c>
      <c r="AL1123" s="3066">
        <v>981.57</v>
      </c>
      <c r="AM1123" s="3066">
        <v>0</v>
      </c>
      <c r="AN1123" s="3066" t="s">
        <v>3560</v>
      </c>
      <c r="AP1123" s="3068">
        <f t="shared" si="17"/>
        <v>20</v>
      </c>
    </row>
    <row r="1124" spans="2:42" ht="27" customHeight="1">
      <c r="B1124" s="3066">
        <v>1265</v>
      </c>
      <c r="C1124" s="3066" t="s">
        <v>5748</v>
      </c>
      <c r="D1124" s="3066" t="s">
        <v>4209</v>
      </c>
      <c r="E1124" s="3066" t="s">
        <v>6961</v>
      </c>
      <c r="F1124" s="3066" t="s">
        <v>3917</v>
      </c>
      <c r="G1124" s="3066" t="s">
        <v>1373</v>
      </c>
      <c r="H1124" s="3066" t="s">
        <v>3560</v>
      </c>
      <c r="I1124" s="3066" t="s">
        <v>6818</v>
      </c>
      <c r="J1124" s="3066" t="s">
        <v>6819</v>
      </c>
      <c r="K1124" s="3066" t="s">
        <v>3560</v>
      </c>
      <c r="L1124" s="3066" t="s">
        <v>6820</v>
      </c>
      <c r="M1124" s="3066" t="s">
        <v>6962</v>
      </c>
      <c r="N1124" s="3066">
        <v>35.6</v>
      </c>
      <c r="O1124" s="3066" t="s">
        <v>3619</v>
      </c>
      <c r="P1124" s="3066" t="s">
        <v>3566</v>
      </c>
      <c r="Q1124" s="3066">
        <v>1</v>
      </c>
      <c r="R1124" s="3066">
        <v>0</v>
      </c>
      <c r="S1124" s="3066" t="s">
        <v>3577</v>
      </c>
      <c r="T1124" s="3066">
        <v>20</v>
      </c>
      <c r="U1124" s="3066">
        <v>712</v>
      </c>
      <c r="V1124" s="3066" t="s">
        <v>3560</v>
      </c>
      <c r="W1124" s="3066" t="s">
        <v>3568</v>
      </c>
      <c r="X1124" s="3066">
        <v>2</v>
      </c>
      <c r="Y1124" s="3066">
        <v>854.4</v>
      </c>
      <c r="Z1124" s="3066" t="s">
        <v>3568</v>
      </c>
      <c r="AA1124" s="3066" t="s">
        <v>3560</v>
      </c>
      <c r="AB1124" s="3066" t="s">
        <v>3584</v>
      </c>
      <c r="AC1124" s="3066" t="s">
        <v>3584</v>
      </c>
      <c r="AD1124" s="3066" t="s">
        <v>3584</v>
      </c>
      <c r="AE1124" s="3066" t="s">
        <v>3560</v>
      </c>
      <c r="AF1124" s="3067">
        <v>712</v>
      </c>
      <c r="AG1124" s="3066">
        <v>0</v>
      </c>
      <c r="AH1124" s="3066">
        <v>71.2</v>
      </c>
      <c r="AI1124" s="3066">
        <v>0</v>
      </c>
      <c r="AJ1124" s="3066">
        <v>20.85</v>
      </c>
      <c r="AK1124" s="3066">
        <v>0</v>
      </c>
      <c r="AL1124" s="3066">
        <v>804.05</v>
      </c>
      <c r="AM1124" s="3066">
        <v>0</v>
      </c>
      <c r="AN1124" s="3066" t="s">
        <v>3560</v>
      </c>
      <c r="AP1124" s="3068">
        <f t="shared" si="17"/>
        <v>20</v>
      </c>
    </row>
    <row r="1125" spans="2:42" ht="27" customHeight="1">
      <c r="B1125" s="3066">
        <v>1266</v>
      </c>
      <c r="C1125" s="3066" t="s">
        <v>5748</v>
      </c>
      <c r="D1125" s="3066" t="s">
        <v>4209</v>
      </c>
      <c r="E1125" s="3066" t="s">
        <v>6963</v>
      </c>
      <c r="F1125" s="3066" t="s">
        <v>3917</v>
      </c>
      <c r="G1125" s="3066" t="s">
        <v>1373</v>
      </c>
      <c r="H1125" s="3066" t="s">
        <v>3560</v>
      </c>
      <c r="I1125" s="3066" t="s">
        <v>6818</v>
      </c>
      <c r="J1125" s="3066" t="s">
        <v>6819</v>
      </c>
      <c r="K1125" s="3066" t="s">
        <v>3560</v>
      </c>
      <c r="L1125" s="3066" t="s">
        <v>6820</v>
      </c>
      <c r="M1125" s="3066" t="s">
        <v>6964</v>
      </c>
      <c r="N1125" s="3066">
        <v>35.6</v>
      </c>
      <c r="O1125" s="3066" t="s">
        <v>3619</v>
      </c>
      <c r="P1125" s="3066" t="s">
        <v>3566</v>
      </c>
      <c r="Q1125" s="3066">
        <v>1</v>
      </c>
      <c r="R1125" s="3066">
        <v>0</v>
      </c>
      <c r="S1125" s="3066" t="s">
        <v>3577</v>
      </c>
      <c r="T1125" s="3066">
        <v>20</v>
      </c>
      <c r="U1125" s="3066">
        <v>712</v>
      </c>
      <c r="V1125" s="3066" t="s">
        <v>3560</v>
      </c>
      <c r="W1125" s="3066" t="s">
        <v>3568</v>
      </c>
      <c r="X1125" s="3066">
        <v>2</v>
      </c>
      <c r="Y1125" s="3066">
        <v>854.4</v>
      </c>
      <c r="Z1125" s="3066" t="s">
        <v>3568</v>
      </c>
      <c r="AA1125" s="3066" t="s">
        <v>3560</v>
      </c>
      <c r="AB1125" s="3066" t="s">
        <v>3584</v>
      </c>
      <c r="AC1125" s="3066" t="s">
        <v>3584</v>
      </c>
      <c r="AD1125" s="3066" t="s">
        <v>3584</v>
      </c>
      <c r="AE1125" s="3066" t="s">
        <v>3560</v>
      </c>
      <c r="AF1125" s="3067">
        <v>712</v>
      </c>
      <c r="AG1125" s="3066">
        <v>0</v>
      </c>
      <c r="AH1125" s="3066">
        <v>71.2</v>
      </c>
      <c r="AI1125" s="3066">
        <v>0</v>
      </c>
      <c r="AJ1125" s="3066">
        <v>72.47</v>
      </c>
      <c r="AK1125" s="3066">
        <v>0</v>
      </c>
      <c r="AL1125" s="3066">
        <v>855.67</v>
      </c>
      <c r="AM1125" s="3066">
        <v>0</v>
      </c>
      <c r="AN1125" s="3066" t="s">
        <v>3560</v>
      </c>
      <c r="AP1125" s="3068">
        <f t="shared" si="17"/>
        <v>20</v>
      </c>
    </row>
    <row r="1126" spans="2:42" ht="27" customHeight="1">
      <c r="B1126" s="3066">
        <v>1267</v>
      </c>
      <c r="C1126" s="3066" t="s">
        <v>5748</v>
      </c>
      <c r="D1126" s="3066" t="s">
        <v>4209</v>
      </c>
      <c r="E1126" s="3066" t="s">
        <v>6965</v>
      </c>
      <c r="F1126" s="3066" t="s">
        <v>3917</v>
      </c>
      <c r="G1126" s="3066" t="s">
        <v>1373</v>
      </c>
      <c r="H1126" s="3066" t="s">
        <v>3560</v>
      </c>
      <c r="I1126" s="3066" t="s">
        <v>6818</v>
      </c>
      <c r="J1126" s="3066" t="s">
        <v>6819</v>
      </c>
      <c r="K1126" s="3066" t="s">
        <v>3560</v>
      </c>
      <c r="L1126" s="3066" t="s">
        <v>6820</v>
      </c>
      <c r="M1126" s="3066" t="s">
        <v>6966</v>
      </c>
      <c r="N1126" s="3066">
        <v>35.6</v>
      </c>
      <c r="O1126" s="3066" t="s">
        <v>3619</v>
      </c>
      <c r="P1126" s="3066" t="s">
        <v>3566</v>
      </c>
      <c r="Q1126" s="3066">
        <v>1</v>
      </c>
      <c r="R1126" s="3066">
        <v>0</v>
      </c>
      <c r="S1126" s="3066" t="s">
        <v>3577</v>
      </c>
      <c r="T1126" s="3066">
        <v>20</v>
      </c>
      <c r="U1126" s="3066">
        <v>712</v>
      </c>
      <c r="V1126" s="3066" t="s">
        <v>3560</v>
      </c>
      <c r="W1126" s="3066" t="s">
        <v>3568</v>
      </c>
      <c r="X1126" s="3066">
        <v>2</v>
      </c>
      <c r="Y1126" s="3066">
        <v>854.4</v>
      </c>
      <c r="Z1126" s="3066" t="s">
        <v>3568</v>
      </c>
      <c r="AA1126" s="3066" t="s">
        <v>3560</v>
      </c>
      <c r="AB1126" s="3066" t="s">
        <v>3584</v>
      </c>
      <c r="AC1126" s="3066" t="s">
        <v>3584</v>
      </c>
      <c r="AD1126" s="3066" t="s">
        <v>3584</v>
      </c>
      <c r="AE1126" s="3066" t="s">
        <v>3560</v>
      </c>
      <c r="AF1126" s="3067">
        <v>712</v>
      </c>
      <c r="AG1126" s="3066">
        <v>0</v>
      </c>
      <c r="AH1126" s="3066">
        <v>71.2</v>
      </c>
      <c r="AI1126" s="3066">
        <v>0</v>
      </c>
      <c r="AJ1126" s="3066">
        <v>52.93</v>
      </c>
      <c r="AK1126" s="3066">
        <v>0</v>
      </c>
      <c r="AL1126" s="3066">
        <v>836.13</v>
      </c>
      <c r="AM1126" s="3066">
        <v>0</v>
      </c>
      <c r="AN1126" s="3066" t="s">
        <v>3560</v>
      </c>
      <c r="AP1126" s="3068">
        <f t="shared" si="17"/>
        <v>20</v>
      </c>
    </row>
    <row r="1127" spans="2:42" ht="27" customHeight="1">
      <c r="B1127" s="3066">
        <v>1268</v>
      </c>
      <c r="C1127" s="3066" t="s">
        <v>5748</v>
      </c>
      <c r="D1127" s="3066" t="s">
        <v>4209</v>
      </c>
      <c r="E1127" s="3066" t="s">
        <v>6967</v>
      </c>
      <c r="F1127" s="3066" t="s">
        <v>3917</v>
      </c>
      <c r="G1127" s="3066" t="s">
        <v>1373</v>
      </c>
      <c r="H1127" s="3066" t="s">
        <v>3560</v>
      </c>
      <c r="I1127" s="3066" t="s">
        <v>6818</v>
      </c>
      <c r="J1127" s="3066" t="s">
        <v>6819</v>
      </c>
      <c r="K1127" s="3066" t="s">
        <v>3560</v>
      </c>
      <c r="L1127" s="3066" t="s">
        <v>6820</v>
      </c>
      <c r="M1127" s="3066" t="s">
        <v>6968</v>
      </c>
      <c r="N1127" s="3066">
        <v>35.6</v>
      </c>
      <c r="O1127" s="3066" t="s">
        <v>3619</v>
      </c>
      <c r="P1127" s="3066" t="s">
        <v>3566</v>
      </c>
      <c r="Q1127" s="3066">
        <v>1</v>
      </c>
      <c r="R1127" s="3066">
        <v>0</v>
      </c>
      <c r="S1127" s="3066" t="s">
        <v>3577</v>
      </c>
      <c r="T1127" s="3066">
        <v>20</v>
      </c>
      <c r="U1127" s="3066">
        <v>712</v>
      </c>
      <c r="V1127" s="3066" t="s">
        <v>3560</v>
      </c>
      <c r="W1127" s="3066" t="s">
        <v>3568</v>
      </c>
      <c r="X1127" s="3066">
        <v>2</v>
      </c>
      <c r="Y1127" s="3066">
        <v>854.4</v>
      </c>
      <c r="Z1127" s="3066" t="s">
        <v>3568</v>
      </c>
      <c r="AA1127" s="3066" t="s">
        <v>3560</v>
      </c>
      <c r="AB1127" s="3066" t="s">
        <v>3584</v>
      </c>
      <c r="AC1127" s="3066" t="s">
        <v>3584</v>
      </c>
      <c r="AD1127" s="3066" t="s">
        <v>3584</v>
      </c>
      <c r="AE1127" s="3066" t="s">
        <v>3560</v>
      </c>
      <c r="AF1127" s="3067">
        <v>712</v>
      </c>
      <c r="AG1127" s="3066">
        <v>0</v>
      </c>
      <c r="AH1127" s="3066">
        <v>71.2</v>
      </c>
      <c r="AI1127" s="3066">
        <v>0</v>
      </c>
      <c r="AJ1127" s="3066">
        <v>108.3</v>
      </c>
      <c r="AK1127" s="3066">
        <v>0</v>
      </c>
      <c r="AL1127" s="3066">
        <v>891.5</v>
      </c>
      <c r="AM1127" s="3066">
        <v>0</v>
      </c>
      <c r="AN1127" s="3066" t="s">
        <v>3560</v>
      </c>
      <c r="AP1127" s="3068">
        <f t="shared" si="17"/>
        <v>20</v>
      </c>
    </row>
    <row r="1128" spans="2:42" ht="27" customHeight="1">
      <c r="B1128" s="3066">
        <v>1269</v>
      </c>
      <c r="C1128" s="3066" t="s">
        <v>5748</v>
      </c>
      <c r="D1128" s="3066" t="s">
        <v>4209</v>
      </c>
      <c r="E1128" s="3066" t="s">
        <v>6969</v>
      </c>
      <c r="F1128" s="3066" t="s">
        <v>3917</v>
      </c>
      <c r="G1128" s="3066" t="s">
        <v>1373</v>
      </c>
      <c r="H1128" s="3066" t="s">
        <v>3560</v>
      </c>
      <c r="I1128" s="3066" t="s">
        <v>6818</v>
      </c>
      <c r="J1128" s="3066" t="s">
        <v>6819</v>
      </c>
      <c r="K1128" s="3066" t="s">
        <v>3560</v>
      </c>
      <c r="L1128" s="3066" t="s">
        <v>6820</v>
      </c>
      <c r="M1128" s="3066" t="s">
        <v>6970</v>
      </c>
      <c r="N1128" s="3066">
        <v>35.6</v>
      </c>
      <c r="O1128" s="3066" t="s">
        <v>3619</v>
      </c>
      <c r="P1128" s="3066" t="s">
        <v>3566</v>
      </c>
      <c r="Q1128" s="3066">
        <v>1</v>
      </c>
      <c r="R1128" s="3066">
        <v>0</v>
      </c>
      <c r="S1128" s="3066" t="s">
        <v>3577</v>
      </c>
      <c r="T1128" s="3066">
        <v>20</v>
      </c>
      <c r="U1128" s="3066">
        <v>712</v>
      </c>
      <c r="V1128" s="3066" t="s">
        <v>3560</v>
      </c>
      <c r="W1128" s="3066" t="s">
        <v>3568</v>
      </c>
      <c r="X1128" s="3066">
        <v>2</v>
      </c>
      <c r="Y1128" s="3066">
        <v>854.4</v>
      </c>
      <c r="Z1128" s="3066" t="s">
        <v>3568</v>
      </c>
      <c r="AA1128" s="3066" t="s">
        <v>3560</v>
      </c>
      <c r="AB1128" s="3066" t="s">
        <v>3584</v>
      </c>
      <c r="AC1128" s="3066" t="s">
        <v>3584</v>
      </c>
      <c r="AD1128" s="3066" t="s">
        <v>3584</v>
      </c>
      <c r="AE1128" s="3066" t="s">
        <v>3560</v>
      </c>
      <c r="AF1128" s="3067">
        <v>712</v>
      </c>
      <c r="AG1128" s="3066">
        <v>0</v>
      </c>
      <c r="AH1128" s="3066">
        <v>71.2</v>
      </c>
      <c r="AI1128" s="3066">
        <v>0</v>
      </c>
      <c r="AJ1128" s="3066">
        <v>85</v>
      </c>
      <c r="AK1128" s="3066">
        <v>0</v>
      </c>
      <c r="AL1128" s="3066">
        <v>868.2</v>
      </c>
      <c r="AM1128" s="3066">
        <v>0</v>
      </c>
      <c r="AN1128" s="3066" t="s">
        <v>3560</v>
      </c>
      <c r="AP1128" s="3068">
        <f t="shared" si="17"/>
        <v>20</v>
      </c>
    </row>
    <row r="1129" spans="2:42" ht="27" customHeight="1">
      <c r="B1129" s="3066">
        <v>1270</v>
      </c>
      <c r="C1129" s="3066" t="s">
        <v>5748</v>
      </c>
      <c r="D1129" s="3066" t="s">
        <v>4209</v>
      </c>
      <c r="E1129" s="3066" t="s">
        <v>6971</v>
      </c>
      <c r="F1129" s="3066" t="s">
        <v>3917</v>
      </c>
      <c r="G1129" s="3066" t="s">
        <v>1373</v>
      </c>
      <c r="H1129" s="3066" t="s">
        <v>3560</v>
      </c>
      <c r="I1129" s="3066" t="s">
        <v>6818</v>
      </c>
      <c r="J1129" s="3066" t="s">
        <v>6819</v>
      </c>
      <c r="K1129" s="3066" t="s">
        <v>3560</v>
      </c>
      <c r="L1129" s="3066" t="s">
        <v>6820</v>
      </c>
      <c r="M1129" s="3066" t="s">
        <v>6972</v>
      </c>
      <c r="N1129" s="3066">
        <v>35.6</v>
      </c>
      <c r="O1129" s="3066" t="s">
        <v>3619</v>
      </c>
      <c r="P1129" s="3066" t="s">
        <v>3566</v>
      </c>
      <c r="Q1129" s="3066">
        <v>1</v>
      </c>
      <c r="R1129" s="3066">
        <v>0</v>
      </c>
      <c r="S1129" s="3066" t="s">
        <v>3577</v>
      </c>
      <c r="T1129" s="3066">
        <v>20</v>
      </c>
      <c r="U1129" s="3066">
        <v>712</v>
      </c>
      <c r="V1129" s="3066" t="s">
        <v>3560</v>
      </c>
      <c r="W1129" s="3066" t="s">
        <v>3568</v>
      </c>
      <c r="X1129" s="3066">
        <v>2</v>
      </c>
      <c r="Y1129" s="3066">
        <v>854.4</v>
      </c>
      <c r="Z1129" s="3066" t="s">
        <v>3568</v>
      </c>
      <c r="AA1129" s="3066" t="s">
        <v>3560</v>
      </c>
      <c r="AB1129" s="3066" t="s">
        <v>3584</v>
      </c>
      <c r="AC1129" s="3066" t="s">
        <v>3584</v>
      </c>
      <c r="AD1129" s="3066" t="s">
        <v>3584</v>
      </c>
      <c r="AE1129" s="3066" t="s">
        <v>3560</v>
      </c>
      <c r="AF1129" s="3067">
        <v>712</v>
      </c>
      <c r="AG1129" s="3066">
        <v>0</v>
      </c>
      <c r="AH1129" s="3066">
        <v>71.2</v>
      </c>
      <c r="AI1129" s="3066">
        <v>0</v>
      </c>
      <c r="AJ1129" s="3066">
        <v>8.15</v>
      </c>
      <c r="AK1129" s="3066">
        <v>0</v>
      </c>
      <c r="AL1129" s="3066">
        <v>791.35</v>
      </c>
      <c r="AM1129" s="3066">
        <v>0</v>
      </c>
      <c r="AN1129" s="3066" t="s">
        <v>3560</v>
      </c>
      <c r="AP1129" s="3068">
        <f t="shared" si="17"/>
        <v>20</v>
      </c>
    </row>
    <row r="1130" spans="2:42" ht="27" customHeight="1">
      <c r="B1130" s="3066">
        <v>1271</v>
      </c>
      <c r="C1130" s="3066" t="s">
        <v>5748</v>
      </c>
      <c r="D1130" s="3066" t="s">
        <v>4209</v>
      </c>
      <c r="E1130" s="3066" t="s">
        <v>6973</v>
      </c>
      <c r="F1130" s="3066" t="s">
        <v>3917</v>
      </c>
      <c r="G1130" s="3066" t="s">
        <v>1373</v>
      </c>
      <c r="H1130" s="3066" t="s">
        <v>3560</v>
      </c>
      <c r="I1130" s="3066" t="s">
        <v>6818</v>
      </c>
      <c r="J1130" s="3066" t="s">
        <v>6819</v>
      </c>
      <c r="K1130" s="3066" t="s">
        <v>3560</v>
      </c>
      <c r="L1130" s="3066" t="s">
        <v>6820</v>
      </c>
      <c r="M1130" s="3066" t="s">
        <v>6974</v>
      </c>
      <c r="N1130" s="3066">
        <v>39.700000000000003</v>
      </c>
      <c r="O1130" s="3066" t="s">
        <v>3619</v>
      </c>
      <c r="P1130" s="3066" t="s">
        <v>3566</v>
      </c>
      <c r="Q1130" s="3066">
        <v>1</v>
      </c>
      <c r="R1130" s="3066">
        <v>0</v>
      </c>
      <c r="S1130" s="3066" t="s">
        <v>3577</v>
      </c>
      <c r="T1130" s="3066">
        <v>20</v>
      </c>
      <c r="U1130" s="3066">
        <v>794</v>
      </c>
      <c r="V1130" s="3066" t="s">
        <v>3560</v>
      </c>
      <c r="W1130" s="3066" t="s">
        <v>3568</v>
      </c>
      <c r="X1130" s="3066">
        <v>2</v>
      </c>
      <c r="Y1130" s="3066">
        <v>952.8</v>
      </c>
      <c r="Z1130" s="3066" t="s">
        <v>3568</v>
      </c>
      <c r="AA1130" s="3066" t="s">
        <v>3560</v>
      </c>
      <c r="AB1130" s="3066" t="s">
        <v>3584</v>
      </c>
      <c r="AC1130" s="3066" t="s">
        <v>3584</v>
      </c>
      <c r="AD1130" s="3066" t="s">
        <v>3584</v>
      </c>
      <c r="AE1130" s="3066" t="s">
        <v>3560</v>
      </c>
      <c r="AF1130" s="3067">
        <v>794</v>
      </c>
      <c r="AG1130" s="3066">
        <v>0</v>
      </c>
      <c r="AH1130" s="3066">
        <v>79.400000000000006</v>
      </c>
      <c r="AI1130" s="3066">
        <v>0</v>
      </c>
      <c r="AJ1130" s="3066">
        <v>111.39</v>
      </c>
      <c r="AK1130" s="3066">
        <v>0</v>
      </c>
      <c r="AL1130" s="3066">
        <v>984.79</v>
      </c>
      <c r="AM1130" s="3066">
        <v>0</v>
      </c>
      <c r="AN1130" s="3066" t="s">
        <v>3560</v>
      </c>
      <c r="AP1130" s="3068">
        <f t="shared" si="17"/>
        <v>20</v>
      </c>
    </row>
    <row r="1131" spans="2:42" ht="27" customHeight="1">
      <c r="B1131" s="3066">
        <v>1274</v>
      </c>
      <c r="C1131" s="3066" t="s">
        <v>6195</v>
      </c>
      <c r="D1131" s="3066" t="s">
        <v>4053</v>
      </c>
      <c r="E1131" s="3066" t="s">
        <v>6975</v>
      </c>
      <c r="F1131" s="3066" t="s">
        <v>3917</v>
      </c>
      <c r="G1131" s="3066" t="s">
        <v>3560</v>
      </c>
      <c r="H1131" s="3066" t="s">
        <v>3560</v>
      </c>
      <c r="I1131" s="3066" t="s">
        <v>6976</v>
      </c>
      <c r="J1131" s="3066" t="s">
        <v>6976</v>
      </c>
      <c r="K1131" s="3066" t="s">
        <v>3560</v>
      </c>
      <c r="L1131" s="3066" t="s">
        <v>6977</v>
      </c>
      <c r="M1131" s="3066" t="s">
        <v>6978</v>
      </c>
      <c r="N1131" s="3066">
        <v>40.200000000000003</v>
      </c>
      <c r="O1131" s="3066" t="s">
        <v>3560</v>
      </c>
      <c r="P1131" s="3066" t="s">
        <v>3560</v>
      </c>
      <c r="Q1131" s="3066">
        <v>0</v>
      </c>
      <c r="R1131" s="3066">
        <v>0</v>
      </c>
      <c r="S1131" s="3066" t="s">
        <v>3577</v>
      </c>
      <c r="T1131" s="3066">
        <v>0</v>
      </c>
      <c r="U1131" s="3066">
        <v>0</v>
      </c>
      <c r="V1131" s="3066" t="s">
        <v>3560</v>
      </c>
      <c r="W1131" s="3066" t="s">
        <v>3568</v>
      </c>
      <c r="X1131" s="3066">
        <v>0</v>
      </c>
      <c r="Y1131" s="3066">
        <v>0</v>
      </c>
      <c r="Z1131" s="3066" t="s">
        <v>3568</v>
      </c>
      <c r="AA1131" s="3066" t="s">
        <v>3560</v>
      </c>
      <c r="AB1131" s="3066" t="s">
        <v>3560</v>
      </c>
      <c r="AC1131" s="3066" t="s">
        <v>3560</v>
      </c>
      <c r="AD1131" s="3066" t="s">
        <v>3560</v>
      </c>
      <c r="AE1131" s="3066" t="s">
        <v>3560</v>
      </c>
      <c r="AF1131" s="3067">
        <v>0</v>
      </c>
      <c r="AG1131" s="3066">
        <v>0</v>
      </c>
      <c r="AH1131" s="3066">
        <v>0</v>
      </c>
      <c r="AI1131" s="3066">
        <v>0</v>
      </c>
      <c r="AJ1131" s="3066">
        <v>0</v>
      </c>
      <c r="AK1131" s="3066">
        <v>0</v>
      </c>
      <c r="AL1131" s="3066">
        <v>0</v>
      </c>
      <c r="AM1131" s="3066">
        <v>0</v>
      </c>
      <c r="AN1131" s="3066" t="s">
        <v>3560</v>
      </c>
      <c r="AP1131" s="3068">
        <f t="shared" si="17"/>
        <v>0</v>
      </c>
    </row>
    <row r="1132" spans="2:42" ht="27" customHeight="1">
      <c r="B1132" s="3066">
        <v>1275</v>
      </c>
      <c r="C1132" s="3066" t="s">
        <v>6195</v>
      </c>
      <c r="D1132" s="3066" t="s">
        <v>4053</v>
      </c>
      <c r="E1132" s="3066" t="s">
        <v>6979</v>
      </c>
      <c r="F1132" s="3066" t="s">
        <v>3917</v>
      </c>
      <c r="G1132" s="3066" t="s">
        <v>3560</v>
      </c>
      <c r="H1132" s="3066" t="s">
        <v>3560</v>
      </c>
      <c r="I1132" s="3066" t="s">
        <v>6980</v>
      </c>
      <c r="J1132" s="3066" t="s">
        <v>6980</v>
      </c>
      <c r="K1132" s="3066" t="s">
        <v>3560</v>
      </c>
      <c r="L1132" s="3066" t="s">
        <v>6981</v>
      </c>
      <c r="M1132" s="3066" t="s">
        <v>6982</v>
      </c>
      <c r="N1132" s="3066">
        <v>40.200000000000003</v>
      </c>
      <c r="O1132" s="3066" t="s">
        <v>3560</v>
      </c>
      <c r="P1132" s="3066" t="s">
        <v>3560</v>
      </c>
      <c r="Q1132" s="3066">
        <v>0</v>
      </c>
      <c r="R1132" s="3066">
        <v>0</v>
      </c>
      <c r="S1132" s="3066" t="s">
        <v>3577</v>
      </c>
      <c r="T1132" s="3066">
        <v>0</v>
      </c>
      <c r="U1132" s="3066">
        <v>0</v>
      </c>
      <c r="V1132" s="3066" t="s">
        <v>3560</v>
      </c>
      <c r="W1132" s="3066" t="s">
        <v>3568</v>
      </c>
      <c r="X1132" s="3066">
        <v>0</v>
      </c>
      <c r="Y1132" s="3066">
        <v>0</v>
      </c>
      <c r="Z1132" s="3066" t="s">
        <v>3568</v>
      </c>
      <c r="AA1132" s="3066" t="s">
        <v>3560</v>
      </c>
      <c r="AB1132" s="3066" t="s">
        <v>3560</v>
      </c>
      <c r="AC1132" s="3066" t="s">
        <v>3560</v>
      </c>
      <c r="AD1132" s="3066" t="s">
        <v>3560</v>
      </c>
      <c r="AE1132" s="3066" t="s">
        <v>3560</v>
      </c>
      <c r="AF1132" s="3067">
        <v>0</v>
      </c>
      <c r="AG1132" s="3066">
        <v>0</v>
      </c>
      <c r="AH1132" s="3066">
        <v>0</v>
      </c>
      <c r="AI1132" s="3066">
        <v>0</v>
      </c>
      <c r="AJ1132" s="3066">
        <v>0</v>
      </c>
      <c r="AK1132" s="3066">
        <v>0</v>
      </c>
      <c r="AL1132" s="3066">
        <v>0</v>
      </c>
      <c r="AM1132" s="3066">
        <v>0</v>
      </c>
      <c r="AN1132" s="3066" t="s">
        <v>3560</v>
      </c>
      <c r="AP1132" s="3068">
        <f t="shared" si="17"/>
        <v>0</v>
      </c>
    </row>
    <row r="1133" spans="2:42" ht="27" customHeight="1">
      <c r="B1133" s="3066">
        <v>1276</v>
      </c>
      <c r="C1133" s="3066" t="s">
        <v>6195</v>
      </c>
      <c r="D1133" s="3066" t="s">
        <v>4053</v>
      </c>
      <c r="E1133" s="3066" t="s">
        <v>6979</v>
      </c>
      <c r="F1133" s="3066" t="s">
        <v>3917</v>
      </c>
      <c r="G1133" s="3066" t="s">
        <v>1373</v>
      </c>
      <c r="H1133" s="3066" t="s">
        <v>3560</v>
      </c>
      <c r="I1133" s="3066" t="s">
        <v>6983</v>
      </c>
      <c r="J1133" s="3066" t="s">
        <v>3560</v>
      </c>
      <c r="K1133" s="3066" t="s">
        <v>3560</v>
      </c>
      <c r="L1133" s="3066" t="s">
        <v>6984</v>
      </c>
      <c r="M1133" s="3066" t="s">
        <v>6982</v>
      </c>
      <c r="N1133" s="3066">
        <v>40.200000000000003</v>
      </c>
      <c r="O1133" s="3066" t="s">
        <v>5211</v>
      </c>
      <c r="P1133" s="3066" t="s">
        <v>3566</v>
      </c>
      <c r="Q1133" s="3066">
        <v>1</v>
      </c>
      <c r="R1133" s="3066">
        <v>2804</v>
      </c>
      <c r="S1133" s="3066" t="s">
        <v>3567</v>
      </c>
      <c r="T1133" s="3066">
        <v>21</v>
      </c>
      <c r="U1133" s="3066">
        <v>844.2</v>
      </c>
      <c r="V1133" s="3066" t="s">
        <v>3560</v>
      </c>
      <c r="W1133" s="3066" t="s">
        <v>3568</v>
      </c>
      <c r="X1133" s="3066">
        <v>2.25</v>
      </c>
      <c r="Y1133" s="3066">
        <v>1084.8</v>
      </c>
      <c r="Z1133" s="3066" t="s">
        <v>3568</v>
      </c>
      <c r="AA1133" s="3066" t="s">
        <v>3560</v>
      </c>
      <c r="AB1133" s="3066" t="s">
        <v>3943</v>
      </c>
      <c r="AC1133" s="3066" t="s">
        <v>3943</v>
      </c>
      <c r="AD1133" s="3066" t="s">
        <v>3943</v>
      </c>
      <c r="AE1133" s="3066" t="s">
        <v>3560</v>
      </c>
      <c r="AF1133" s="3067">
        <v>0</v>
      </c>
      <c r="AG1133" s="3066">
        <v>0</v>
      </c>
      <c r="AH1133" s="3066">
        <v>0</v>
      </c>
      <c r="AI1133" s="3066">
        <v>0</v>
      </c>
      <c r="AJ1133" s="3066">
        <v>0</v>
      </c>
      <c r="AK1133" s="3066">
        <v>0</v>
      </c>
      <c r="AL1133" s="3066">
        <v>0</v>
      </c>
      <c r="AM1133" s="3066">
        <v>0</v>
      </c>
      <c r="AN1133" s="3066" t="s">
        <v>3560</v>
      </c>
      <c r="AP1133" s="3068">
        <f t="shared" si="17"/>
        <v>0</v>
      </c>
    </row>
    <row r="1134" spans="2:42" ht="27" customHeight="1">
      <c r="B1134" s="3066">
        <v>1277</v>
      </c>
      <c r="C1134" s="3066" t="s">
        <v>6195</v>
      </c>
      <c r="D1134" s="3066" t="s">
        <v>4053</v>
      </c>
      <c r="E1134" s="3066" t="s">
        <v>6985</v>
      </c>
      <c r="F1134" s="3066" t="s">
        <v>3917</v>
      </c>
      <c r="G1134" s="3066" t="s">
        <v>3560</v>
      </c>
      <c r="H1134" s="3066" t="s">
        <v>3560</v>
      </c>
      <c r="I1134" s="3066" t="s">
        <v>6986</v>
      </c>
      <c r="J1134" s="3066" t="s">
        <v>6986</v>
      </c>
      <c r="K1134" s="3066" t="s">
        <v>3560</v>
      </c>
      <c r="L1134" s="3066" t="s">
        <v>6981</v>
      </c>
      <c r="M1134" s="3066" t="s">
        <v>6987</v>
      </c>
      <c r="N1134" s="3066">
        <v>40.200000000000003</v>
      </c>
      <c r="O1134" s="3066" t="s">
        <v>3560</v>
      </c>
      <c r="P1134" s="3066" t="s">
        <v>3560</v>
      </c>
      <c r="Q1134" s="3066">
        <v>0</v>
      </c>
      <c r="R1134" s="3066">
        <v>0</v>
      </c>
      <c r="S1134" s="3066" t="s">
        <v>3577</v>
      </c>
      <c r="T1134" s="3066">
        <v>0</v>
      </c>
      <c r="U1134" s="3066">
        <v>0</v>
      </c>
      <c r="V1134" s="3066" t="s">
        <v>3560</v>
      </c>
      <c r="W1134" s="3066" t="s">
        <v>3568</v>
      </c>
      <c r="X1134" s="3066">
        <v>0</v>
      </c>
      <c r="Y1134" s="3066">
        <v>0</v>
      </c>
      <c r="Z1134" s="3066" t="s">
        <v>3568</v>
      </c>
      <c r="AA1134" s="3066" t="s">
        <v>3560</v>
      </c>
      <c r="AB1134" s="3066" t="s">
        <v>3560</v>
      </c>
      <c r="AC1134" s="3066" t="s">
        <v>3560</v>
      </c>
      <c r="AD1134" s="3066" t="s">
        <v>3560</v>
      </c>
      <c r="AE1134" s="3066" t="s">
        <v>3560</v>
      </c>
      <c r="AF1134" s="3067">
        <v>0</v>
      </c>
      <c r="AG1134" s="3066">
        <v>0</v>
      </c>
      <c r="AH1134" s="3066">
        <v>0</v>
      </c>
      <c r="AI1134" s="3066">
        <v>0</v>
      </c>
      <c r="AJ1134" s="3066">
        <v>0</v>
      </c>
      <c r="AK1134" s="3066">
        <v>0</v>
      </c>
      <c r="AL1134" s="3066">
        <v>0</v>
      </c>
      <c r="AM1134" s="3066">
        <v>0</v>
      </c>
      <c r="AN1134" s="3066" t="s">
        <v>3560</v>
      </c>
      <c r="AP1134" s="3068">
        <f t="shared" si="17"/>
        <v>0</v>
      </c>
    </row>
    <row r="1135" spans="2:42" ht="27" customHeight="1">
      <c r="B1135" s="3066">
        <v>1278</v>
      </c>
      <c r="C1135" s="3066" t="s">
        <v>6195</v>
      </c>
      <c r="D1135" s="3066" t="s">
        <v>4053</v>
      </c>
      <c r="E1135" s="3066" t="s">
        <v>6988</v>
      </c>
      <c r="F1135" s="3066" t="s">
        <v>3917</v>
      </c>
      <c r="G1135" s="3066" t="s">
        <v>3560</v>
      </c>
      <c r="H1135" s="3066" t="s">
        <v>3560</v>
      </c>
      <c r="I1135" s="3066" t="s">
        <v>6989</v>
      </c>
      <c r="J1135" s="3066" t="s">
        <v>6989</v>
      </c>
      <c r="K1135" s="3066" t="s">
        <v>3560</v>
      </c>
      <c r="L1135" s="3066" t="s">
        <v>6990</v>
      </c>
      <c r="M1135" s="3066" t="s">
        <v>6991</v>
      </c>
      <c r="N1135" s="3066">
        <v>40.200000000000003</v>
      </c>
      <c r="O1135" s="3066" t="s">
        <v>3560</v>
      </c>
      <c r="P1135" s="3066" t="s">
        <v>3560</v>
      </c>
      <c r="Q1135" s="3066">
        <v>0</v>
      </c>
      <c r="R1135" s="3066">
        <v>0</v>
      </c>
      <c r="S1135" s="3066" t="s">
        <v>3577</v>
      </c>
      <c r="T1135" s="3066">
        <v>0</v>
      </c>
      <c r="U1135" s="3066">
        <v>0</v>
      </c>
      <c r="V1135" s="3066" t="s">
        <v>3560</v>
      </c>
      <c r="W1135" s="3066" t="s">
        <v>3568</v>
      </c>
      <c r="X1135" s="3066">
        <v>0</v>
      </c>
      <c r="Y1135" s="3066">
        <v>0</v>
      </c>
      <c r="Z1135" s="3066" t="s">
        <v>3568</v>
      </c>
      <c r="AA1135" s="3066" t="s">
        <v>3560</v>
      </c>
      <c r="AB1135" s="3066" t="s">
        <v>3560</v>
      </c>
      <c r="AC1135" s="3066" t="s">
        <v>3560</v>
      </c>
      <c r="AD1135" s="3066" t="s">
        <v>3560</v>
      </c>
      <c r="AE1135" s="3066" t="s">
        <v>3560</v>
      </c>
      <c r="AF1135" s="3067">
        <v>0</v>
      </c>
      <c r="AG1135" s="3066">
        <v>0</v>
      </c>
      <c r="AH1135" s="3066">
        <v>0</v>
      </c>
      <c r="AI1135" s="3066">
        <v>0</v>
      </c>
      <c r="AJ1135" s="3066">
        <v>0</v>
      </c>
      <c r="AK1135" s="3066">
        <v>0</v>
      </c>
      <c r="AL1135" s="3066">
        <v>0</v>
      </c>
      <c r="AM1135" s="3066">
        <v>0</v>
      </c>
      <c r="AN1135" s="3066" t="s">
        <v>3560</v>
      </c>
      <c r="AP1135" s="3068">
        <f t="shared" si="17"/>
        <v>0</v>
      </c>
    </row>
    <row r="1136" spans="2:42" ht="27" customHeight="1">
      <c r="B1136" s="3066">
        <v>1279</v>
      </c>
      <c r="C1136" s="3066" t="s">
        <v>6195</v>
      </c>
      <c r="D1136" s="3066" t="s">
        <v>4053</v>
      </c>
      <c r="E1136" s="3066" t="s">
        <v>6992</v>
      </c>
      <c r="F1136" s="3066" t="s">
        <v>3917</v>
      </c>
      <c r="G1136" s="3066" t="s">
        <v>3560</v>
      </c>
      <c r="H1136" s="3066" t="s">
        <v>3560</v>
      </c>
      <c r="I1136" s="3066" t="s">
        <v>6993</v>
      </c>
      <c r="J1136" s="3066" t="s">
        <v>6993</v>
      </c>
      <c r="K1136" s="3066" t="s">
        <v>3560</v>
      </c>
      <c r="L1136" s="3066" t="s">
        <v>6994</v>
      </c>
      <c r="M1136" s="3066" t="s">
        <v>6995</v>
      </c>
      <c r="N1136" s="3066">
        <v>40.200000000000003</v>
      </c>
      <c r="O1136" s="3066" t="s">
        <v>3560</v>
      </c>
      <c r="P1136" s="3066" t="s">
        <v>3560</v>
      </c>
      <c r="Q1136" s="3066">
        <v>0</v>
      </c>
      <c r="R1136" s="3066">
        <v>0</v>
      </c>
      <c r="S1136" s="3066" t="s">
        <v>3577</v>
      </c>
      <c r="T1136" s="3066">
        <v>0</v>
      </c>
      <c r="U1136" s="3066">
        <v>0</v>
      </c>
      <c r="V1136" s="3066" t="s">
        <v>3560</v>
      </c>
      <c r="W1136" s="3066" t="s">
        <v>3568</v>
      </c>
      <c r="X1136" s="3066">
        <v>0</v>
      </c>
      <c r="Y1136" s="3066">
        <v>0</v>
      </c>
      <c r="Z1136" s="3066" t="s">
        <v>3568</v>
      </c>
      <c r="AA1136" s="3066" t="s">
        <v>3560</v>
      </c>
      <c r="AB1136" s="3066" t="s">
        <v>3560</v>
      </c>
      <c r="AC1136" s="3066" t="s">
        <v>3560</v>
      </c>
      <c r="AD1136" s="3066" t="s">
        <v>3560</v>
      </c>
      <c r="AE1136" s="3066" t="s">
        <v>3560</v>
      </c>
      <c r="AF1136" s="3067">
        <v>0</v>
      </c>
      <c r="AG1136" s="3066">
        <v>0</v>
      </c>
      <c r="AH1136" s="3066">
        <v>0</v>
      </c>
      <c r="AI1136" s="3066">
        <v>0</v>
      </c>
      <c r="AJ1136" s="3066">
        <v>0</v>
      </c>
      <c r="AK1136" s="3066">
        <v>0</v>
      </c>
      <c r="AL1136" s="3066">
        <v>0</v>
      </c>
      <c r="AM1136" s="3066">
        <v>0</v>
      </c>
      <c r="AN1136" s="3066" t="s">
        <v>3560</v>
      </c>
      <c r="AP1136" s="3068">
        <f t="shared" si="17"/>
        <v>0</v>
      </c>
    </row>
    <row r="1137" spans="2:42" ht="27" customHeight="1">
      <c r="B1137" s="3066">
        <v>1280</v>
      </c>
      <c r="C1137" s="3066" t="s">
        <v>6195</v>
      </c>
      <c r="D1137" s="3066" t="s">
        <v>4053</v>
      </c>
      <c r="E1137" s="3066" t="s">
        <v>6992</v>
      </c>
      <c r="F1137" s="3066" t="s">
        <v>3917</v>
      </c>
      <c r="G1137" s="3066" t="s">
        <v>3560</v>
      </c>
      <c r="H1137" s="3066" t="s">
        <v>3560</v>
      </c>
      <c r="I1137" s="3066" t="s">
        <v>6996</v>
      </c>
      <c r="J1137" s="3066" t="s">
        <v>6996</v>
      </c>
      <c r="K1137" s="3066" t="s">
        <v>3560</v>
      </c>
      <c r="L1137" s="3066" t="s">
        <v>3742</v>
      </c>
      <c r="M1137" s="3066" t="s">
        <v>6995</v>
      </c>
      <c r="N1137" s="3066">
        <v>40.200000000000003</v>
      </c>
      <c r="O1137" s="3066" t="s">
        <v>5211</v>
      </c>
      <c r="P1137" s="3066" t="s">
        <v>3566</v>
      </c>
      <c r="Q1137" s="3066">
        <v>1</v>
      </c>
      <c r="R1137" s="3066">
        <v>28038</v>
      </c>
      <c r="S1137" s="3066" t="s">
        <v>3567</v>
      </c>
      <c r="T1137" s="3066">
        <v>21</v>
      </c>
      <c r="U1137" s="3066">
        <v>844.2</v>
      </c>
      <c r="V1137" s="3066" t="s">
        <v>3560</v>
      </c>
      <c r="W1137" s="3066" t="s">
        <v>3568</v>
      </c>
      <c r="X1137" s="3066">
        <v>2.25</v>
      </c>
      <c r="Y1137" s="3066">
        <v>1084.8</v>
      </c>
      <c r="Z1137" s="3066" t="s">
        <v>3568</v>
      </c>
      <c r="AA1137" s="3066" t="s">
        <v>3560</v>
      </c>
      <c r="AB1137" s="3066" t="s">
        <v>3943</v>
      </c>
      <c r="AC1137" s="3066" t="s">
        <v>3943</v>
      </c>
      <c r="AD1137" s="3066" t="s">
        <v>3943</v>
      </c>
      <c r="AE1137" s="3066" t="s">
        <v>3560</v>
      </c>
      <c r="AF1137" s="3067">
        <v>0</v>
      </c>
      <c r="AG1137" s="3066">
        <v>0</v>
      </c>
      <c r="AH1137" s="3066">
        <v>0</v>
      </c>
      <c r="AI1137" s="3066">
        <v>0</v>
      </c>
      <c r="AJ1137" s="3066">
        <v>0</v>
      </c>
      <c r="AK1137" s="3066">
        <v>0</v>
      </c>
      <c r="AL1137" s="3066">
        <v>0</v>
      </c>
      <c r="AM1137" s="3066">
        <v>0</v>
      </c>
      <c r="AN1137" s="3066" t="s">
        <v>3560</v>
      </c>
      <c r="AP1137" s="3068">
        <f t="shared" si="17"/>
        <v>0</v>
      </c>
    </row>
    <row r="1138" spans="2:42" ht="27" customHeight="1">
      <c r="B1138" s="3066">
        <v>1281</v>
      </c>
      <c r="C1138" s="3066" t="s">
        <v>6195</v>
      </c>
      <c r="D1138" s="3066" t="s">
        <v>4053</v>
      </c>
      <c r="E1138" s="3066" t="s">
        <v>6997</v>
      </c>
      <c r="F1138" s="3066" t="s">
        <v>3917</v>
      </c>
      <c r="G1138" s="3066" t="s">
        <v>3560</v>
      </c>
      <c r="H1138" s="3066" t="s">
        <v>3560</v>
      </c>
      <c r="I1138" s="3066" t="s">
        <v>6996</v>
      </c>
      <c r="J1138" s="3066" t="s">
        <v>6996</v>
      </c>
      <c r="K1138" s="3066" t="s">
        <v>3560</v>
      </c>
      <c r="L1138" s="3066" t="s">
        <v>3742</v>
      </c>
      <c r="M1138" s="3066" t="s">
        <v>6998</v>
      </c>
      <c r="N1138" s="3066">
        <v>40.200000000000003</v>
      </c>
      <c r="O1138" s="3066" t="s">
        <v>5211</v>
      </c>
      <c r="P1138" s="3066" t="s">
        <v>3566</v>
      </c>
      <c r="Q1138" s="3066">
        <v>1</v>
      </c>
      <c r="R1138" s="3066">
        <v>0</v>
      </c>
      <c r="S1138" s="3066" t="s">
        <v>3577</v>
      </c>
      <c r="T1138" s="3066">
        <v>21</v>
      </c>
      <c r="U1138" s="3066">
        <v>844.2</v>
      </c>
      <c r="V1138" s="3066" t="s">
        <v>3560</v>
      </c>
      <c r="W1138" s="3066" t="s">
        <v>3568</v>
      </c>
      <c r="X1138" s="3066">
        <v>2.25</v>
      </c>
      <c r="Y1138" s="3066">
        <v>1084.8</v>
      </c>
      <c r="Z1138" s="3066" t="s">
        <v>3568</v>
      </c>
      <c r="AA1138" s="3066" t="s">
        <v>3560</v>
      </c>
      <c r="AB1138" s="3066" t="s">
        <v>3943</v>
      </c>
      <c r="AC1138" s="3066" t="s">
        <v>3943</v>
      </c>
      <c r="AD1138" s="3066" t="s">
        <v>3943</v>
      </c>
      <c r="AE1138" s="3066" t="s">
        <v>3560</v>
      </c>
      <c r="AF1138" s="3067">
        <v>0</v>
      </c>
      <c r="AG1138" s="3066">
        <v>0</v>
      </c>
      <c r="AH1138" s="3066">
        <v>0</v>
      </c>
      <c r="AI1138" s="3066">
        <v>0</v>
      </c>
      <c r="AJ1138" s="3066">
        <v>0</v>
      </c>
      <c r="AK1138" s="3066">
        <v>0</v>
      </c>
      <c r="AL1138" s="3066">
        <v>0</v>
      </c>
      <c r="AM1138" s="3066">
        <v>0</v>
      </c>
      <c r="AN1138" s="3066" t="s">
        <v>3560</v>
      </c>
      <c r="AP1138" s="3068">
        <f t="shared" si="17"/>
        <v>0</v>
      </c>
    </row>
    <row r="1139" spans="2:42" ht="27" customHeight="1">
      <c r="B1139" s="3066">
        <v>1282</v>
      </c>
      <c r="C1139" s="3066" t="s">
        <v>6195</v>
      </c>
      <c r="D1139" s="3066" t="s">
        <v>4053</v>
      </c>
      <c r="E1139" s="3066" t="s">
        <v>6999</v>
      </c>
      <c r="F1139" s="3066" t="s">
        <v>3917</v>
      </c>
      <c r="G1139" s="3066" t="s">
        <v>3560</v>
      </c>
      <c r="H1139" s="3066" t="s">
        <v>3560</v>
      </c>
      <c r="I1139" s="3066" t="s">
        <v>6996</v>
      </c>
      <c r="J1139" s="3066" t="s">
        <v>6996</v>
      </c>
      <c r="K1139" s="3066" t="s">
        <v>3560</v>
      </c>
      <c r="L1139" s="3066" t="s">
        <v>3742</v>
      </c>
      <c r="M1139" s="3066" t="s">
        <v>7000</v>
      </c>
      <c r="N1139" s="3066">
        <v>40.200000000000003</v>
      </c>
      <c r="O1139" s="3066" t="s">
        <v>5211</v>
      </c>
      <c r="P1139" s="3066" t="s">
        <v>3566</v>
      </c>
      <c r="Q1139" s="3066">
        <v>1</v>
      </c>
      <c r="R1139" s="3066">
        <v>0</v>
      </c>
      <c r="S1139" s="3066" t="s">
        <v>3577</v>
      </c>
      <c r="T1139" s="3066">
        <v>21</v>
      </c>
      <c r="U1139" s="3066">
        <v>844.2</v>
      </c>
      <c r="V1139" s="3066" t="s">
        <v>3560</v>
      </c>
      <c r="W1139" s="3066" t="s">
        <v>3568</v>
      </c>
      <c r="X1139" s="3066">
        <v>2.25</v>
      </c>
      <c r="Y1139" s="3066">
        <v>1084.8</v>
      </c>
      <c r="Z1139" s="3066" t="s">
        <v>3568</v>
      </c>
      <c r="AA1139" s="3066" t="s">
        <v>3560</v>
      </c>
      <c r="AB1139" s="3066" t="s">
        <v>3943</v>
      </c>
      <c r="AC1139" s="3066" t="s">
        <v>3943</v>
      </c>
      <c r="AD1139" s="3066" t="s">
        <v>3943</v>
      </c>
      <c r="AE1139" s="3066" t="s">
        <v>3560</v>
      </c>
      <c r="AF1139" s="3067">
        <v>0</v>
      </c>
      <c r="AG1139" s="3066">
        <v>0</v>
      </c>
      <c r="AH1139" s="3066">
        <v>0</v>
      </c>
      <c r="AI1139" s="3066">
        <v>0</v>
      </c>
      <c r="AJ1139" s="3066">
        <v>0</v>
      </c>
      <c r="AK1139" s="3066">
        <v>0</v>
      </c>
      <c r="AL1139" s="3066">
        <v>0</v>
      </c>
      <c r="AM1139" s="3066">
        <v>0</v>
      </c>
      <c r="AN1139" s="3066" t="s">
        <v>3560</v>
      </c>
      <c r="AP1139" s="3068">
        <f t="shared" si="17"/>
        <v>0</v>
      </c>
    </row>
    <row r="1140" spans="2:42" ht="27" customHeight="1">
      <c r="B1140" s="3066">
        <v>1283</v>
      </c>
      <c r="C1140" s="3066" t="s">
        <v>6195</v>
      </c>
      <c r="D1140" s="3066" t="s">
        <v>4053</v>
      </c>
      <c r="E1140" s="3066" t="s">
        <v>7001</v>
      </c>
      <c r="F1140" s="3066" t="s">
        <v>3917</v>
      </c>
      <c r="G1140" s="3066" t="s">
        <v>3560</v>
      </c>
      <c r="H1140" s="3066" t="s">
        <v>3560</v>
      </c>
      <c r="I1140" s="3066" t="s">
        <v>6996</v>
      </c>
      <c r="J1140" s="3066" t="s">
        <v>6996</v>
      </c>
      <c r="K1140" s="3066" t="s">
        <v>3560</v>
      </c>
      <c r="L1140" s="3066" t="s">
        <v>3742</v>
      </c>
      <c r="M1140" s="3066" t="s">
        <v>7002</v>
      </c>
      <c r="N1140" s="3066">
        <v>40.200000000000003</v>
      </c>
      <c r="O1140" s="3066" t="s">
        <v>5211</v>
      </c>
      <c r="P1140" s="3066" t="s">
        <v>3566</v>
      </c>
      <c r="Q1140" s="3066">
        <v>1</v>
      </c>
      <c r="R1140" s="3066">
        <v>0</v>
      </c>
      <c r="S1140" s="3066" t="s">
        <v>3577</v>
      </c>
      <c r="T1140" s="3066">
        <v>21</v>
      </c>
      <c r="U1140" s="3066">
        <v>844.2</v>
      </c>
      <c r="V1140" s="3066" t="s">
        <v>3560</v>
      </c>
      <c r="W1140" s="3066" t="s">
        <v>3568</v>
      </c>
      <c r="X1140" s="3066">
        <v>2.25</v>
      </c>
      <c r="Y1140" s="3066">
        <v>1084.8</v>
      </c>
      <c r="Z1140" s="3066" t="s">
        <v>3568</v>
      </c>
      <c r="AA1140" s="3066" t="s">
        <v>3560</v>
      </c>
      <c r="AB1140" s="3066" t="s">
        <v>3943</v>
      </c>
      <c r="AC1140" s="3066" t="s">
        <v>3943</v>
      </c>
      <c r="AD1140" s="3066" t="s">
        <v>3943</v>
      </c>
      <c r="AE1140" s="3066" t="s">
        <v>3560</v>
      </c>
      <c r="AF1140" s="3067">
        <v>0</v>
      </c>
      <c r="AG1140" s="3066">
        <v>0</v>
      </c>
      <c r="AH1140" s="3066">
        <v>0</v>
      </c>
      <c r="AI1140" s="3066">
        <v>0</v>
      </c>
      <c r="AJ1140" s="3066">
        <v>0</v>
      </c>
      <c r="AK1140" s="3066">
        <v>0</v>
      </c>
      <c r="AL1140" s="3066">
        <v>0</v>
      </c>
      <c r="AM1140" s="3066">
        <v>0</v>
      </c>
      <c r="AN1140" s="3066" t="s">
        <v>3560</v>
      </c>
      <c r="AP1140" s="3068">
        <f t="shared" si="17"/>
        <v>0</v>
      </c>
    </row>
    <row r="1141" spans="2:42" ht="27" customHeight="1">
      <c r="B1141" s="3066">
        <v>1284</v>
      </c>
      <c r="C1141" s="3066" t="s">
        <v>6195</v>
      </c>
      <c r="D1141" s="3066" t="s">
        <v>4053</v>
      </c>
      <c r="E1141" s="3066" t="s">
        <v>7003</v>
      </c>
      <c r="F1141" s="3066" t="s">
        <v>3917</v>
      </c>
      <c r="G1141" s="3066" t="s">
        <v>3560</v>
      </c>
      <c r="H1141" s="3066" t="s">
        <v>3560</v>
      </c>
      <c r="I1141" s="3066" t="s">
        <v>6996</v>
      </c>
      <c r="J1141" s="3066" t="s">
        <v>6996</v>
      </c>
      <c r="K1141" s="3066" t="s">
        <v>3560</v>
      </c>
      <c r="L1141" s="3066" t="s">
        <v>3742</v>
      </c>
      <c r="M1141" s="3066" t="s">
        <v>7004</v>
      </c>
      <c r="N1141" s="3066">
        <v>40.200000000000003</v>
      </c>
      <c r="O1141" s="3066" t="s">
        <v>5211</v>
      </c>
      <c r="P1141" s="3066" t="s">
        <v>3566</v>
      </c>
      <c r="Q1141" s="3066">
        <v>1</v>
      </c>
      <c r="R1141" s="3066">
        <v>0</v>
      </c>
      <c r="S1141" s="3066" t="s">
        <v>3577</v>
      </c>
      <c r="T1141" s="3066">
        <v>21</v>
      </c>
      <c r="U1141" s="3066">
        <v>844.2</v>
      </c>
      <c r="V1141" s="3066" t="s">
        <v>3560</v>
      </c>
      <c r="W1141" s="3066" t="s">
        <v>3568</v>
      </c>
      <c r="X1141" s="3066">
        <v>2.25</v>
      </c>
      <c r="Y1141" s="3066">
        <v>1084.8</v>
      </c>
      <c r="Z1141" s="3066" t="s">
        <v>3568</v>
      </c>
      <c r="AA1141" s="3066" t="s">
        <v>3560</v>
      </c>
      <c r="AB1141" s="3066" t="s">
        <v>3943</v>
      </c>
      <c r="AC1141" s="3066" t="s">
        <v>3943</v>
      </c>
      <c r="AD1141" s="3066" t="s">
        <v>3943</v>
      </c>
      <c r="AE1141" s="3066" t="s">
        <v>3560</v>
      </c>
      <c r="AF1141" s="3067">
        <v>0</v>
      </c>
      <c r="AG1141" s="3066">
        <v>0</v>
      </c>
      <c r="AH1141" s="3066">
        <v>0</v>
      </c>
      <c r="AI1141" s="3066">
        <v>0</v>
      </c>
      <c r="AJ1141" s="3066">
        <v>0</v>
      </c>
      <c r="AK1141" s="3066">
        <v>0</v>
      </c>
      <c r="AL1141" s="3066">
        <v>0</v>
      </c>
      <c r="AM1141" s="3066">
        <v>0</v>
      </c>
      <c r="AN1141" s="3066" t="s">
        <v>3560</v>
      </c>
      <c r="AP1141" s="3068">
        <f t="shared" si="17"/>
        <v>0</v>
      </c>
    </row>
    <row r="1142" spans="2:42" ht="27" customHeight="1">
      <c r="B1142" s="3066">
        <v>1285</v>
      </c>
      <c r="C1142" s="3066" t="s">
        <v>6195</v>
      </c>
      <c r="D1142" s="3066" t="s">
        <v>4053</v>
      </c>
      <c r="E1142" s="3066" t="s">
        <v>7005</v>
      </c>
      <c r="F1142" s="3066" t="s">
        <v>3917</v>
      </c>
      <c r="G1142" s="3066" t="s">
        <v>3560</v>
      </c>
      <c r="H1142" s="3066" t="s">
        <v>3560</v>
      </c>
      <c r="I1142" s="3066" t="s">
        <v>6996</v>
      </c>
      <c r="J1142" s="3066" t="s">
        <v>6996</v>
      </c>
      <c r="K1142" s="3066" t="s">
        <v>3560</v>
      </c>
      <c r="L1142" s="3066" t="s">
        <v>3742</v>
      </c>
      <c r="M1142" s="3066" t="s">
        <v>7006</v>
      </c>
      <c r="N1142" s="3066">
        <v>40.200000000000003</v>
      </c>
      <c r="O1142" s="3066" t="s">
        <v>5211</v>
      </c>
      <c r="P1142" s="3066" t="s">
        <v>3566</v>
      </c>
      <c r="Q1142" s="3066">
        <v>1</v>
      </c>
      <c r="R1142" s="3066">
        <v>0</v>
      </c>
      <c r="S1142" s="3066" t="s">
        <v>3577</v>
      </c>
      <c r="T1142" s="3066">
        <v>21</v>
      </c>
      <c r="U1142" s="3066">
        <v>844.2</v>
      </c>
      <c r="V1142" s="3066" t="s">
        <v>3560</v>
      </c>
      <c r="W1142" s="3066" t="s">
        <v>3568</v>
      </c>
      <c r="X1142" s="3066">
        <v>2.25</v>
      </c>
      <c r="Y1142" s="3066">
        <v>1084.8</v>
      </c>
      <c r="Z1142" s="3066" t="s">
        <v>3568</v>
      </c>
      <c r="AA1142" s="3066" t="s">
        <v>3560</v>
      </c>
      <c r="AB1142" s="3066" t="s">
        <v>3943</v>
      </c>
      <c r="AC1142" s="3066" t="s">
        <v>3943</v>
      </c>
      <c r="AD1142" s="3066" t="s">
        <v>3943</v>
      </c>
      <c r="AE1142" s="3066" t="s">
        <v>3560</v>
      </c>
      <c r="AF1142" s="3067">
        <v>0</v>
      </c>
      <c r="AG1142" s="3066">
        <v>0</v>
      </c>
      <c r="AH1142" s="3066">
        <v>0</v>
      </c>
      <c r="AI1142" s="3066">
        <v>0</v>
      </c>
      <c r="AJ1142" s="3066">
        <v>0</v>
      </c>
      <c r="AK1142" s="3066">
        <v>0</v>
      </c>
      <c r="AL1142" s="3066">
        <v>0</v>
      </c>
      <c r="AM1142" s="3066">
        <v>0</v>
      </c>
      <c r="AN1142" s="3066" t="s">
        <v>3560</v>
      </c>
      <c r="AP1142" s="3068">
        <f t="shared" si="17"/>
        <v>0</v>
      </c>
    </row>
    <row r="1143" spans="2:42" ht="27" customHeight="1">
      <c r="B1143" s="3066">
        <v>1286</v>
      </c>
      <c r="C1143" s="3066" t="s">
        <v>6195</v>
      </c>
      <c r="D1143" s="3066" t="s">
        <v>4053</v>
      </c>
      <c r="E1143" s="3066" t="s">
        <v>7007</v>
      </c>
      <c r="F1143" s="3066" t="s">
        <v>3917</v>
      </c>
      <c r="G1143" s="3066" t="s">
        <v>3560</v>
      </c>
      <c r="H1143" s="3066" t="s">
        <v>3560</v>
      </c>
      <c r="I1143" s="3066" t="s">
        <v>6996</v>
      </c>
      <c r="J1143" s="3066" t="s">
        <v>6996</v>
      </c>
      <c r="K1143" s="3066" t="s">
        <v>3560</v>
      </c>
      <c r="L1143" s="3066" t="s">
        <v>3742</v>
      </c>
      <c r="M1143" s="3066" t="s">
        <v>7008</v>
      </c>
      <c r="N1143" s="3066">
        <v>40.200000000000003</v>
      </c>
      <c r="O1143" s="3066" t="s">
        <v>3560</v>
      </c>
      <c r="P1143" s="3066" t="s">
        <v>3560</v>
      </c>
      <c r="Q1143" s="3066">
        <v>0</v>
      </c>
      <c r="R1143" s="3066">
        <v>0</v>
      </c>
      <c r="S1143" s="3066" t="s">
        <v>3577</v>
      </c>
      <c r="T1143" s="3066">
        <v>0</v>
      </c>
      <c r="U1143" s="3066">
        <v>0</v>
      </c>
      <c r="V1143" s="3066" t="s">
        <v>3560</v>
      </c>
      <c r="W1143" s="3066" t="s">
        <v>3568</v>
      </c>
      <c r="X1143" s="3066">
        <v>0</v>
      </c>
      <c r="Y1143" s="3066">
        <v>0</v>
      </c>
      <c r="Z1143" s="3066" t="s">
        <v>3568</v>
      </c>
      <c r="AA1143" s="3066" t="s">
        <v>3560</v>
      </c>
      <c r="AB1143" s="3066" t="s">
        <v>3560</v>
      </c>
      <c r="AC1143" s="3066" t="s">
        <v>3560</v>
      </c>
      <c r="AD1143" s="3066" t="s">
        <v>3560</v>
      </c>
      <c r="AE1143" s="3066" t="s">
        <v>3560</v>
      </c>
      <c r="AF1143" s="3067">
        <v>0</v>
      </c>
      <c r="AG1143" s="3066">
        <v>0</v>
      </c>
      <c r="AH1143" s="3066">
        <v>0</v>
      </c>
      <c r="AI1143" s="3066">
        <v>0</v>
      </c>
      <c r="AJ1143" s="3066">
        <v>0</v>
      </c>
      <c r="AK1143" s="3066">
        <v>0</v>
      </c>
      <c r="AL1143" s="3066">
        <v>0</v>
      </c>
      <c r="AM1143" s="3066">
        <v>0</v>
      </c>
      <c r="AN1143" s="3066" t="s">
        <v>3560</v>
      </c>
      <c r="AP1143" s="3068">
        <f t="shared" si="17"/>
        <v>0</v>
      </c>
    </row>
    <row r="1144" spans="2:42" ht="27" customHeight="1">
      <c r="B1144" s="3066">
        <v>1287</v>
      </c>
      <c r="C1144" s="3066" t="s">
        <v>6195</v>
      </c>
      <c r="D1144" s="3066" t="s">
        <v>4053</v>
      </c>
      <c r="E1144" s="3066" t="s">
        <v>7007</v>
      </c>
      <c r="F1144" s="3066" t="s">
        <v>3917</v>
      </c>
      <c r="G1144" s="3066" t="s">
        <v>3560</v>
      </c>
      <c r="H1144" s="3066" t="s">
        <v>3560</v>
      </c>
      <c r="I1144" s="3066" t="s">
        <v>6993</v>
      </c>
      <c r="J1144" s="3066" t="s">
        <v>6993</v>
      </c>
      <c r="K1144" s="3066" t="s">
        <v>3560</v>
      </c>
      <c r="L1144" s="3066" t="s">
        <v>6994</v>
      </c>
      <c r="M1144" s="3066" t="s">
        <v>7008</v>
      </c>
      <c r="N1144" s="3066">
        <v>40.200000000000003</v>
      </c>
      <c r="O1144" s="3066" t="s">
        <v>5211</v>
      </c>
      <c r="P1144" s="3066" t="s">
        <v>3566</v>
      </c>
      <c r="Q1144" s="3066">
        <v>1</v>
      </c>
      <c r="R1144" s="3066">
        <v>4673</v>
      </c>
      <c r="S1144" s="3066" t="s">
        <v>3567</v>
      </c>
      <c r="T1144" s="3066">
        <v>21</v>
      </c>
      <c r="U1144" s="3066">
        <v>844.2</v>
      </c>
      <c r="V1144" s="3066" t="s">
        <v>3560</v>
      </c>
      <c r="W1144" s="3066" t="s">
        <v>3568</v>
      </c>
      <c r="X1144" s="3066">
        <v>2.25</v>
      </c>
      <c r="Y1144" s="3066">
        <v>1084.8</v>
      </c>
      <c r="Z1144" s="3066" t="s">
        <v>3568</v>
      </c>
      <c r="AA1144" s="3066" t="s">
        <v>3560</v>
      </c>
      <c r="AB1144" s="3066" t="s">
        <v>3943</v>
      </c>
      <c r="AC1144" s="3066" t="s">
        <v>3943</v>
      </c>
      <c r="AD1144" s="3066" t="s">
        <v>3943</v>
      </c>
      <c r="AE1144" s="3066" t="s">
        <v>3560</v>
      </c>
      <c r="AF1144" s="3067">
        <v>0</v>
      </c>
      <c r="AG1144" s="3066">
        <v>0</v>
      </c>
      <c r="AH1144" s="3066">
        <v>0</v>
      </c>
      <c r="AI1144" s="3066">
        <v>0</v>
      </c>
      <c r="AJ1144" s="3066">
        <v>0</v>
      </c>
      <c r="AK1144" s="3066">
        <v>0</v>
      </c>
      <c r="AL1144" s="3066">
        <v>0</v>
      </c>
      <c r="AM1144" s="3066">
        <v>0</v>
      </c>
      <c r="AN1144" s="3066" t="s">
        <v>3560</v>
      </c>
      <c r="AP1144" s="3068">
        <f t="shared" si="17"/>
        <v>0</v>
      </c>
    </row>
    <row r="1145" spans="2:42" ht="27" customHeight="1">
      <c r="B1145" s="3066">
        <v>1288</v>
      </c>
      <c r="C1145" s="3066" t="s">
        <v>6195</v>
      </c>
      <c r="D1145" s="3066" t="s">
        <v>4053</v>
      </c>
      <c r="E1145" s="3066" t="s">
        <v>7009</v>
      </c>
      <c r="F1145" s="3066" t="s">
        <v>3917</v>
      </c>
      <c r="G1145" s="3066" t="s">
        <v>3560</v>
      </c>
      <c r="H1145" s="3066" t="s">
        <v>3560</v>
      </c>
      <c r="I1145" s="3066" t="s">
        <v>6989</v>
      </c>
      <c r="J1145" s="3066" t="s">
        <v>6989</v>
      </c>
      <c r="K1145" s="3066" t="s">
        <v>3560</v>
      </c>
      <c r="L1145" s="3066" t="s">
        <v>6990</v>
      </c>
      <c r="M1145" s="3066" t="s">
        <v>7010</v>
      </c>
      <c r="N1145" s="3066">
        <v>40.200000000000003</v>
      </c>
      <c r="O1145" s="3066" t="s">
        <v>5211</v>
      </c>
      <c r="P1145" s="3066" t="s">
        <v>3566</v>
      </c>
      <c r="Q1145" s="3066">
        <v>1</v>
      </c>
      <c r="R1145" s="3066">
        <v>4673</v>
      </c>
      <c r="S1145" s="3066" t="s">
        <v>3567</v>
      </c>
      <c r="T1145" s="3066">
        <v>21</v>
      </c>
      <c r="U1145" s="3066">
        <v>844.2</v>
      </c>
      <c r="V1145" s="3066" t="s">
        <v>3560</v>
      </c>
      <c r="W1145" s="3066" t="s">
        <v>3568</v>
      </c>
      <c r="X1145" s="3066">
        <v>2.25</v>
      </c>
      <c r="Y1145" s="3066">
        <v>1084.8</v>
      </c>
      <c r="Z1145" s="3066" t="s">
        <v>3568</v>
      </c>
      <c r="AA1145" s="3066" t="s">
        <v>3560</v>
      </c>
      <c r="AB1145" s="3066" t="s">
        <v>3943</v>
      </c>
      <c r="AC1145" s="3066" t="s">
        <v>3943</v>
      </c>
      <c r="AD1145" s="3066" t="s">
        <v>3943</v>
      </c>
      <c r="AE1145" s="3066" t="s">
        <v>3560</v>
      </c>
      <c r="AF1145" s="3067">
        <v>0</v>
      </c>
      <c r="AG1145" s="3066">
        <v>0</v>
      </c>
      <c r="AH1145" s="3066">
        <v>0</v>
      </c>
      <c r="AI1145" s="3066">
        <v>0</v>
      </c>
      <c r="AJ1145" s="3066">
        <v>0</v>
      </c>
      <c r="AK1145" s="3066">
        <v>0</v>
      </c>
      <c r="AL1145" s="3066">
        <v>0</v>
      </c>
      <c r="AM1145" s="3066">
        <v>0</v>
      </c>
      <c r="AN1145" s="3066" t="s">
        <v>3560</v>
      </c>
      <c r="AP1145" s="3068">
        <f t="shared" ref="AP1145:AP1151" si="18">AF1145/N1145</f>
        <v>0</v>
      </c>
    </row>
    <row r="1146" spans="2:42" ht="27" customHeight="1">
      <c r="B1146" s="3066">
        <v>1289</v>
      </c>
      <c r="C1146" s="3066" t="s">
        <v>6195</v>
      </c>
      <c r="D1146" s="3066" t="s">
        <v>4053</v>
      </c>
      <c r="E1146" s="3066" t="s">
        <v>7011</v>
      </c>
      <c r="F1146" s="3066" t="s">
        <v>3917</v>
      </c>
      <c r="G1146" s="3066" t="s">
        <v>3560</v>
      </c>
      <c r="H1146" s="3066" t="s">
        <v>3560</v>
      </c>
      <c r="I1146" s="3066" t="s">
        <v>6986</v>
      </c>
      <c r="J1146" s="3066" t="s">
        <v>6986</v>
      </c>
      <c r="K1146" s="3066" t="s">
        <v>3560</v>
      </c>
      <c r="L1146" s="3066" t="s">
        <v>6981</v>
      </c>
      <c r="M1146" s="3066" t="s">
        <v>7012</v>
      </c>
      <c r="N1146" s="3066">
        <v>40.200000000000003</v>
      </c>
      <c r="O1146" s="3066" t="s">
        <v>5211</v>
      </c>
      <c r="P1146" s="3066" t="s">
        <v>3566</v>
      </c>
      <c r="Q1146" s="3066">
        <v>1</v>
      </c>
      <c r="R1146" s="3066">
        <v>4673</v>
      </c>
      <c r="S1146" s="3066" t="s">
        <v>3567</v>
      </c>
      <c r="T1146" s="3066">
        <v>21</v>
      </c>
      <c r="U1146" s="3066">
        <v>844.2</v>
      </c>
      <c r="V1146" s="3066" t="s">
        <v>3560</v>
      </c>
      <c r="W1146" s="3066" t="s">
        <v>3568</v>
      </c>
      <c r="X1146" s="3066">
        <v>2.25</v>
      </c>
      <c r="Y1146" s="3066">
        <v>1084.8</v>
      </c>
      <c r="Z1146" s="3066" t="s">
        <v>3568</v>
      </c>
      <c r="AA1146" s="3066" t="s">
        <v>3560</v>
      </c>
      <c r="AB1146" s="3066" t="s">
        <v>3943</v>
      </c>
      <c r="AC1146" s="3066" t="s">
        <v>3943</v>
      </c>
      <c r="AD1146" s="3066" t="s">
        <v>3943</v>
      </c>
      <c r="AE1146" s="3066" t="s">
        <v>3560</v>
      </c>
      <c r="AF1146" s="3067">
        <v>0</v>
      </c>
      <c r="AG1146" s="3066">
        <v>0</v>
      </c>
      <c r="AH1146" s="3066">
        <v>0</v>
      </c>
      <c r="AI1146" s="3066">
        <v>0</v>
      </c>
      <c r="AJ1146" s="3066">
        <v>0</v>
      </c>
      <c r="AK1146" s="3066">
        <v>0</v>
      </c>
      <c r="AL1146" s="3066">
        <v>0</v>
      </c>
      <c r="AM1146" s="3066">
        <v>0</v>
      </c>
      <c r="AN1146" s="3066" t="s">
        <v>3560</v>
      </c>
      <c r="AP1146" s="3068">
        <f t="shared" si="18"/>
        <v>0</v>
      </c>
    </row>
    <row r="1147" spans="2:42" ht="27" customHeight="1">
      <c r="B1147" s="3066">
        <v>1290</v>
      </c>
      <c r="C1147" s="3066" t="s">
        <v>6195</v>
      </c>
      <c r="D1147" s="3066" t="s">
        <v>4053</v>
      </c>
      <c r="E1147" s="3066" t="s">
        <v>7013</v>
      </c>
      <c r="F1147" s="3066" t="s">
        <v>3917</v>
      </c>
      <c r="G1147" s="3066" t="s">
        <v>1373</v>
      </c>
      <c r="H1147" s="3066" t="s">
        <v>3560</v>
      </c>
      <c r="I1147" s="3066" t="s">
        <v>6983</v>
      </c>
      <c r="J1147" s="3066" t="s">
        <v>3560</v>
      </c>
      <c r="K1147" s="3066" t="s">
        <v>3560</v>
      </c>
      <c r="L1147" s="3066" t="s">
        <v>6984</v>
      </c>
      <c r="M1147" s="3066" t="s">
        <v>7014</v>
      </c>
      <c r="N1147" s="3066">
        <v>40.200000000000003</v>
      </c>
      <c r="O1147" s="3066" t="s">
        <v>3560</v>
      </c>
      <c r="P1147" s="3066" t="s">
        <v>3560</v>
      </c>
      <c r="Q1147" s="3066">
        <v>0</v>
      </c>
      <c r="R1147" s="3066">
        <v>0</v>
      </c>
      <c r="S1147" s="3066" t="s">
        <v>3577</v>
      </c>
      <c r="T1147" s="3066">
        <v>0</v>
      </c>
      <c r="U1147" s="3066">
        <v>0</v>
      </c>
      <c r="V1147" s="3066" t="s">
        <v>3560</v>
      </c>
      <c r="W1147" s="3066" t="s">
        <v>3568</v>
      </c>
      <c r="X1147" s="3066">
        <v>0</v>
      </c>
      <c r="Y1147" s="3066">
        <v>0</v>
      </c>
      <c r="Z1147" s="3066" t="s">
        <v>3568</v>
      </c>
      <c r="AA1147" s="3066" t="s">
        <v>3560</v>
      </c>
      <c r="AB1147" s="3066" t="s">
        <v>3560</v>
      </c>
      <c r="AC1147" s="3066" t="s">
        <v>3560</v>
      </c>
      <c r="AD1147" s="3066" t="s">
        <v>3560</v>
      </c>
      <c r="AE1147" s="3066" t="s">
        <v>3560</v>
      </c>
      <c r="AF1147" s="3067">
        <v>0</v>
      </c>
      <c r="AG1147" s="3066">
        <v>0</v>
      </c>
      <c r="AH1147" s="3066">
        <v>0</v>
      </c>
      <c r="AI1147" s="3066">
        <v>0</v>
      </c>
      <c r="AJ1147" s="3066">
        <v>0</v>
      </c>
      <c r="AK1147" s="3066">
        <v>0</v>
      </c>
      <c r="AL1147" s="3066">
        <v>0</v>
      </c>
      <c r="AM1147" s="3066">
        <v>0</v>
      </c>
      <c r="AN1147" s="3066" t="s">
        <v>3560</v>
      </c>
      <c r="AP1147" s="3068">
        <f t="shared" si="18"/>
        <v>0</v>
      </c>
    </row>
    <row r="1148" spans="2:42" ht="27" customHeight="1">
      <c r="B1148" s="3066">
        <v>1291</v>
      </c>
      <c r="C1148" s="3066" t="s">
        <v>6195</v>
      </c>
      <c r="D1148" s="3066" t="s">
        <v>4053</v>
      </c>
      <c r="E1148" s="3066" t="s">
        <v>7013</v>
      </c>
      <c r="F1148" s="3066" t="s">
        <v>3917</v>
      </c>
      <c r="G1148" s="3066" t="s">
        <v>3560</v>
      </c>
      <c r="H1148" s="3066" t="s">
        <v>3560</v>
      </c>
      <c r="I1148" s="3066" t="s">
        <v>6980</v>
      </c>
      <c r="J1148" s="3066" t="s">
        <v>6980</v>
      </c>
      <c r="K1148" s="3066" t="s">
        <v>3560</v>
      </c>
      <c r="L1148" s="3066" t="s">
        <v>6981</v>
      </c>
      <c r="M1148" s="3066" t="s">
        <v>7014</v>
      </c>
      <c r="N1148" s="3066">
        <v>40.200000000000003</v>
      </c>
      <c r="O1148" s="3066" t="s">
        <v>5211</v>
      </c>
      <c r="P1148" s="3066" t="s">
        <v>3566</v>
      </c>
      <c r="Q1148" s="3066">
        <v>1</v>
      </c>
      <c r="R1148" s="3066">
        <v>4673</v>
      </c>
      <c r="S1148" s="3066" t="s">
        <v>3567</v>
      </c>
      <c r="T1148" s="3066">
        <v>21</v>
      </c>
      <c r="U1148" s="3066">
        <v>844.2</v>
      </c>
      <c r="V1148" s="3066" t="s">
        <v>3560</v>
      </c>
      <c r="W1148" s="3066" t="s">
        <v>3568</v>
      </c>
      <c r="X1148" s="3066">
        <v>2.25</v>
      </c>
      <c r="Y1148" s="3066">
        <v>1084.8</v>
      </c>
      <c r="Z1148" s="3066" t="s">
        <v>3568</v>
      </c>
      <c r="AA1148" s="3066" t="s">
        <v>3560</v>
      </c>
      <c r="AB1148" s="3066" t="s">
        <v>3943</v>
      </c>
      <c r="AC1148" s="3066" t="s">
        <v>3943</v>
      </c>
      <c r="AD1148" s="3066" t="s">
        <v>3943</v>
      </c>
      <c r="AE1148" s="3066" t="s">
        <v>3560</v>
      </c>
      <c r="AF1148" s="3067">
        <v>0</v>
      </c>
      <c r="AG1148" s="3066">
        <v>0</v>
      </c>
      <c r="AH1148" s="3066">
        <v>0</v>
      </c>
      <c r="AI1148" s="3066">
        <v>0</v>
      </c>
      <c r="AJ1148" s="3066">
        <v>0</v>
      </c>
      <c r="AK1148" s="3066">
        <v>0</v>
      </c>
      <c r="AL1148" s="3066">
        <v>0</v>
      </c>
      <c r="AM1148" s="3066">
        <v>0</v>
      </c>
      <c r="AN1148" s="3066" t="s">
        <v>3560</v>
      </c>
      <c r="AP1148" s="3068">
        <f t="shared" si="18"/>
        <v>0</v>
      </c>
    </row>
    <row r="1149" spans="2:42" ht="27" customHeight="1">
      <c r="B1149" s="3066">
        <v>1292</v>
      </c>
      <c r="C1149" s="3066" t="s">
        <v>6195</v>
      </c>
      <c r="D1149" s="3066" t="s">
        <v>4053</v>
      </c>
      <c r="E1149" s="3066" t="s">
        <v>7015</v>
      </c>
      <c r="F1149" s="3066" t="s">
        <v>3917</v>
      </c>
      <c r="G1149" s="3066" t="s">
        <v>3560</v>
      </c>
      <c r="H1149" s="3066" t="s">
        <v>3560</v>
      </c>
      <c r="I1149" s="3066" t="s">
        <v>6976</v>
      </c>
      <c r="J1149" s="3066" t="s">
        <v>6976</v>
      </c>
      <c r="K1149" s="3066" t="s">
        <v>3560</v>
      </c>
      <c r="L1149" s="3066" t="s">
        <v>6977</v>
      </c>
      <c r="M1149" s="3066" t="s">
        <v>7016</v>
      </c>
      <c r="N1149" s="3066">
        <v>40.200000000000003</v>
      </c>
      <c r="O1149" s="3066" t="s">
        <v>5211</v>
      </c>
      <c r="P1149" s="3066" t="s">
        <v>3566</v>
      </c>
      <c r="Q1149" s="3066">
        <v>1</v>
      </c>
      <c r="R1149" s="3066">
        <v>4673</v>
      </c>
      <c r="S1149" s="3066" t="s">
        <v>3567</v>
      </c>
      <c r="T1149" s="3066">
        <v>21</v>
      </c>
      <c r="U1149" s="3066">
        <v>844.2</v>
      </c>
      <c r="V1149" s="3066" t="s">
        <v>3560</v>
      </c>
      <c r="W1149" s="3066" t="s">
        <v>3568</v>
      </c>
      <c r="X1149" s="3066">
        <v>2.25</v>
      </c>
      <c r="Y1149" s="3066">
        <v>1084.8</v>
      </c>
      <c r="Z1149" s="3066" t="s">
        <v>3568</v>
      </c>
      <c r="AA1149" s="3066" t="s">
        <v>3560</v>
      </c>
      <c r="AB1149" s="3066" t="s">
        <v>3943</v>
      </c>
      <c r="AC1149" s="3066" t="s">
        <v>3943</v>
      </c>
      <c r="AD1149" s="3066" t="s">
        <v>3943</v>
      </c>
      <c r="AE1149" s="3066" t="s">
        <v>3560</v>
      </c>
      <c r="AF1149" s="3067">
        <v>0</v>
      </c>
      <c r="AG1149" s="3066">
        <v>0</v>
      </c>
      <c r="AH1149" s="3066">
        <v>0</v>
      </c>
      <c r="AI1149" s="3066">
        <v>0</v>
      </c>
      <c r="AJ1149" s="3066">
        <v>0</v>
      </c>
      <c r="AK1149" s="3066">
        <v>0</v>
      </c>
      <c r="AL1149" s="3066">
        <v>0</v>
      </c>
      <c r="AM1149" s="3066">
        <v>0</v>
      </c>
      <c r="AN1149" s="3066" t="s">
        <v>3560</v>
      </c>
      <c r="AP1149" s="3068">
        <f t="shared" si="18"/>
        <v>0</v>
      </c>
    </row>
    <row r="1150" spans="2:42" ht="27" customHeight="1">
      <c r="B1150" s="3066">
        <v>1293</v>
      </c>
      <c r="C1150" s="3066" t="s">
        <v>3846</v>
      </c>
      <c r="D1150" s="3066" t="s">
        <v>3560</v>
      </c>
      <c r="E1150" s="3066" t="s">
        <v>7017</v>
      </c>
      <c r="F1150" s="3066" t="s">
        <v>3559</v>
      </c>
      <c r="G1150" s="3066" t="s">
        <v>1373</v>
      </c>
      <c r="H1150" s="3066" t="s">
        <v>3560</v>
      </c>
      <c r="I1150" s="3066" t="s">
        <v>6818</v>
      </c>
      <c r="J1150" s="3066" t="s">
        <v>6819</v>
      </c>
      <c r="K1150" s="3066" t="s">
        <v>3560</v>
      </c>
      <c r="L1150" s="3066" t="s">
        <v>6820</v>
      </c>
      <c r="M1150" s="3066" t="s">
        <v>7018</v>
      </c>
      <c r="N1150" s="3066">
        <v>658</v>
      </c>
      <c r="O1150" s="3066" t="s">
        <v>3942</v>
      </c>
      <c r="P1150" s="3066" t="s">
        <v>3566</v>
      </c>
      <c r="Q1150" s="3066">
        <v>0</v>
      </c>
      <c r="R1150" s="3066">
        <v>0</v>
      </c>
      <c r="S1150" s="3066" t="s">
        <v>3577</v>
      </c>
      <c r="T1150" s="3066">
        <v>26</v>
      </c>
      <c r="U1150" s="3066">
        <v>17108</v>
      </c>
      <c r="V1150" s="3066" t="s">
        <v>3560</v>
      </c>
      <c r="W1150" s="3066" t="s">
        <v>3568</v>
      </c>
      <c r="X1150" s="3066">
        <v>2.5</v>
      </c>
      <c r="Y1150" s="3066">
        <v>19740</v>
      </c>
      <c r="Z1150" s="3066" t="s">
        <v>3568</v>
      </c>
      <c r="AA1150" s="3066" t="s">
        <v>3560</v>
      </c>
      <c r="AB1150" s="3066" t="s">
        <v>3943</v>
      </c>
      <c r="AC1150" s="3066" t="s">
        <v>3943</v>
      </c>
      <c r="AD1150" s="3066" t="s">
        <v>3943</v>
      </c>
      <c r="AE1150" s="3066" t="s">
        <v>3560</v>
      </c>
      <c r="AF1150" s="3067">
        <v>0</v>
      </c>
      <c r="AG1150" s="3066">
        <v>0</v>
      </c>
      <c r="AH1150" s="3066">
        <v>0</v>
      </c>
      <c r="AI1150" s="3066">
        <v>0</v>
      </c>
      <c r="AJ1150" s="3066">
        <v>0</v>
      </c>
      <c r="AK1150" s="3066">
        <v>0</v>
      </c>
      <c r="AL1150" s="3066">
        <v>0</v>
      </c>
      <c r="AM1150" s="3066">
        <v>0</v>
      </c>
      <c r="AN1150" s="3066" t="s">
        <v>3560</v>
      </c>
      <c r="AP1150" s="3068">
        <f t="shared" si="18"/>
        <v>0</v>
      </c>
    </row>
    <row r="1151" spans="2:42" ht="27" customHeight="1">
      <c r="B1151" s="3066">
        <v>1294</v>
      </c>
      <c r="C1151" s="3066" t="s">
        <v>3846</v>
      </c>
      <c r="D1151" s="3066" t="s">
        <v>3560</v>
      </c>
      <c r="E1151" s="3066" t="s">
        <v>7019</v>
      </c>
      <c r="F1151" s="3066" t="s">
        <v>3559</v>
      </c>
      <c r="G1151" s="3066" t="s">
        <v>3560</v>
      </c>
      <c r="H1151" s="3066" t="s">
        <v>3560</v>
      </c>
      <c r="I1151" s="3066" t="s">
        <v>3988</v>
      </c>
      <c r="J1151" s="3066" t="s">
        <v>3989</v>
      </c>
      <c r="K1151" s="3066" t="s">
        <v>3560</v>
      </c>
      <c r="L1151" s="3066" t="s">
        <v>3990</v>
      </c>
      <c r="M1151" s="3066" t="s">
        <v>7020</v>
      </c>
      <c r="N1151" s="3066">
        <v>430</v>
      </c>
      <c r="O1151" s="3066" t="s">
        <v>3942</v>
      </c>
      <c r="P1151" s="3066" t="s">
        <v>3566</v>
      </c>
      <c r="Q1151" s="3066">
        <v>0</v>
      </c>
      <c r="R1151" s="3066">
        <v>36765</v>
      </c>
      <c r="S1151" s="3066" t="s">
        <v>3567</v>
      </c>
      <c r="T1151" s="3066">
        <v>26</v>
      </c>
      <c r="U1151" s="3066">
        <v>11180</v>
      </c>
      <c r="V1151" s="3066" t="s">
        <v>3560</v>
      </c>
      <c r="W1151" s="3066" t="s">
        <v>3568</v>
      </c>
      <c r="X1151" s="3066">
        <v>2.5</v>
      </c>
      <c r="Y1151" s="3066">
        <v>12900</v>
      </c>
      <c r="Z1151" s="3066" t="s">
        <v>3568</v>
      </c>
      <c r="AA1151" s="3066" t="s">
        <v>3560</v>
      </c>
      <c r="AB1151" s="3066" t="s">
        <v>3943</v>
      </c>
      <c r="AC1151" s="3066" t="s">
        <v>3943</v>
      </c>
      <c r="AD1151" s="3066" t="s">
        <v>3943</v>
      </c>
      <c r="AE1151" s="3066" t="s">
        <v>3560</v>
      </c>
      <c r="AF1151" s="3067">
        <v>0</v>
      </c>
      <c r="AG1151" s="3066">
        <v>0</v>
      </c>
      <c r="AH1151" s="3066">
        <v>0</v>
      </c>
      <c r="AI1151" s="3066">
        <v>0</v>
      </c>
      <c r="AJ1151" s="3066">
        <v>0</v>
      </c>
      <c r="AK1151" s="3066">
        <v>0</v>
      </c>
      <c r="AL1151" s="3066">
        <v>0</v>
      </c>
      <c r="AM1151" s="3066">
        <v>0</v>
      </c>
      <c r="AN1151" s="3066" t="s">
        <v>3560</v>
      </c>
      <c r="AP1151" s="3068">
        <f t="shared" si="18"/>
        <v>0</v>
      </c>
    </row>
    <row r="1154" spans="42:44">
      <c r="AP1154" s="3069">
        <f>SUM(AF:AF)*12/10000</f>
        <v>5224.0534679999946</v>
      </c>
      <c r="AR1154">
        <f>600/75*抵押物情况汇总!L36*12/10000</f>
        <v>25.686335999999997</v>
      </c>
    </row>
    <row r="1155" spans="42:44">
      <c r="AP1155" s="3134"/>
    </row>
  </sheetData>
  <autoFilter ref="A2:AN1151"/>
  <phoneticPr fontId="14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138" t="str">
        <f>项目基本情况!B1</f>
        <v>广东省深圳市龙岗区布吉镇沙湾“百门前工业区”工业项目局部房地产抵押价值预评估</v>
      </c>
      <c r="C37" s="3138"/>
      <c r="D37" s="3138"/>
      <c r="E37" s="3138"/>
      <c r="F37" s="3138"/>
      <c r="G37" s="3138"/>
      <c r="H37" s="3138"/>
      <c r="I37" s="3138"/>
    </row>
    <row r="38" spans="1:9">
      <c r="A38" s="1016"/>
      <c r="B38" s="1016"/>
    </row>
    <row r="39" spans="1:9">
      <c r="A39" s="1014" t="s">
        <v>818</v>
      </c>
      <c r="B39" s="1014" t="s">
        <v>820</v>
      </c>
    </row>
    <row r="40" spans="1:9">
      <c r="A40" s="1014"/>
      <c r="B40" s="1942" t="str">
        <f>项目基本情况!B5</f>
        <v>五矿国际信托有限公司</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 ca="1">项目基本情况!K4</f>
        <v>郑燚（注册号：1120070131)、王鹏（注册号：1120050019)</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36"/>
  <sheetViews>
    <sheetView topLeftCell="A19" workbookViewId="0">
      <selection activeCell="E36" sqref="E35:E36"/>
    </sheetView>
  </sheetViews>
  <sheetFormatPr defaultRowHeight="13.5"/>
  <cols>
    <col min="1" max="1" width="1.5" customWidth="1"/>
    <col min="3" max="3" width="11.75" customWidth="1"/>
    <col min="4" max="4" width="16.625" style="3" customWidth="1"/>
    <col min="5" max="5" width="20.75" style="3078" customWidth="1"/>
  </cols>
  <sheetData>
    <row r="1" spans="2:5" ht="9" customHeight="1" thickBot="1"/>
    <row r="2" spans="2:5" s="3048" customFormat="1" ht="25.5" customHeight="1">
      <c r="B2" s="3070"/>
      <c r="C2" s="3071" t="s">
        <v>7022</v>
      </c>
      <c r="D2" s="3079" t="s">
        <v>7029</v>
      </c>
      <c r="E2" s="3080" t="s">
        <v>7028</v>
      </c>
    </row>
    <row r="3" spans="2:5" s="3048" customFormat="1" ht="25.5" customHeight="1">
      <c r="B3" s="3072" t="s">
        <v>4002</v>
      </c>
      <c r="C3" s="3065">
        <f>SUMIF(租赁台账!$C:$C,"=1#宿舍",租赁台账!N:N)</f>
        <v>3157</v>
      </c>
      <c r="D3" s="3066">
        <f>SUMIF(租赁台账!$C:$C,"=1#宿舍",租赁台账!AF:AF)</f>
        <v>50628</v>
      </c>
      <c r="E3" s="3081">
        <f>D3/C3</f>
        <v>16.036743744060818</v>
      </c>
    </row>
    <row r="4" spans="2:5" s="3048" customFormat="1" ht="25.5" customHeight="1">
      <c r="B4" s="3072" t="s">
        <v>3142</v>
      </c>
      <c r="C4" s="3065">
        <f>SUMIF(租赁台账!$C:$C,"=2#宿舍",租赁台账!N:N)</f>
        <v>3339</v>
      </c>
      <c r="D4" s="3066">
        <f>SUMIF(租赁台账!$C:$C,"=2#宿舍",租赁台账!AF:AF)</f>
        <v>53578.17</v>
      </c>
      <c r="E4" s="3081">
        <f t="shared" ref="E4:E35" si="0">D4/C4</f>
        <v>16.046172506738543</v>
      </c>
    </row>
    <row r="5" spans="2:5" s="3048" customFormat="1" ht="25.5" customHeight="1">
      <c r="B5" s="3072" t="s">
        <v>7021</v>
      </c>
      <c r="C5" s="3065">
        <f>SUMIF(租赁台账!$C:$C,"=3#宿舍",租赁台账!N:N)</f>
        <v>1916.9999999999993</v>
      </c>
      <c r="D5" s="3066">
        <f>SUMIF(租赁台账!$C:$C,"=3#宿舍",租赁台账!AF:AF)</f>
        <v>28008</v>
      </c>
      <c r="E5" s="3081">
        <f t="shared" si="0"/>
        <v>14.610328638497657</v>
      </c>
    </row>
    <row r="6" spans="2:5" s="3048" customFormat="1" ht="25.5" customHeight="1">
      <c r="B6" s="3072" t="s">
        <v>3151</v>
      </c>
      <c r="C6" s="3065">
        <f>SUMIF(租赁台账!$C:$C,"=4#宿舍",租赁台账!N:N)</f>
        <v>3262.2999999999961</v>
      </c>
      <c r="D6" s="3066">
        <f>SUMIF(租赁台账!$C:$C,"=4#宿舍",租赁台账!AF:AF)</f>
        <v>46960.900000000016</v>
      </c>
      <c r="E6" s="3081">
        <f t="shared" si="0"/>
        <v>14.395028047696433</v>
      </c>
    </row>
    <row r="7" spans="2:5" s="3048" customFormat="1" ht="25.5" customHeight="1">
      <c r="B7" s="3072" t="s">
        <v>3155</v>
      </c>
      <c r="C7" s="3065">
        <f>SUMIF(租赁台账!$C:$C,"=5#宿舍",租赁台账!N:N)</f>
        <v>2715</v>
      </c>
      <c r="D7" s="3066">
        <f>SUMIF(租赁台账!$C:$C,"=5#宿舍",租赁台账!AF:AF)</f>
        <v>56472</v>
      </c>
      <c r="E7" s="3081">
        <f t="shared" si="0"/>
        <v>20.8</v>
      </c>
    </row>
    <row r="8" spans="2:5" s="3048" customFormat="1" ht="25.5" customHeight="1">
      <c r="B8" s="3072" t="s">
        <v>3159</v>
      </c>
      <c r="C8" s="3065">
        <f>SUMIF(租赁台账!$C:$C,"=6#宿舍",租赁台账!N:N)</f>
        <v>3759.0000000000059</v>
      </c>
      <c r="D8" s="3066">
        <f>SUMIF(租赁台账!$C:$C,"=6#宿舍",租赁台账!AF:AF)</f>
        <v>121988.93</v>
      </c>
      <c r="E8" s="3081">
        <f t="shared" si="0"/>
        <v>32.452495344506467</v>
      </c>
    </row>
    <row r="9" spans="2:5" s="3048" customFormat="1" ht="25.5" customHeight="1">
      <c r="B9" s="3072" t="s">
        <v>3163</v>
      </c>
      <c r="C9" s="3065">
        <f>SUMIF(租赁台账!$C:$C,"=7#宿舍",租赁台账!N:N)</f>
        <v>2930</v>
      </c>
      <c r="D9" s="3066">
        <f>SUMIF(租赁台账!$C:$C,"=7#宿舍",租赁台账!AF:AF)</f>
        <v>60944</v>
      </c>
      <c r="E9" s="3081">
        <f t="shared" si="0"/>
        <v>20.8</v>
      </c>
    </row>
    <row r="10" spans="2:5" s="3048" customFormat="1" ht="25.5" customHeight="1">
      <c r="B10" s="3072" t="s">
        <v>3167</v>
      </c>
      <c r="C10" s="3065">
        <f>SUMIF(租赁台账!$C:$C,"=8#宿舍",租赁台账!N:N)</f>
        <v>3427.7000000000044</v>
      </c>
      <c r="D10" s="3066">
        <f>SUMIF(租赁台账!$C:$C,"=8#宿舍",租赁台账!AF:AF)</f>
        <v>0</v>
      </c>
      <c r="E10" s="3081">
        <f t="shared" si="0"/>
        <v>0</v>
      </c>
    </row>
    <row r="11" spans="2:5" s="3048" customFormat="1" ht="25.5" customHeight="1">
      <c r="B11" s="3072" t="s">
        <v>5208</v>
      </c>
      <c r="C11" s="3065">
        <f>SUMIF(租赁台账!$C:$C,"=9#宿舍",租赁台账!N:N)</f>
        <v>2305.7999999999997</v>
      </c>
      <c r="D11" s="3066">
        <f>SUMIF(租赁台账!$C:$C,"=9#宿舍",租赁台账!AF:AF)</f>
        <v>40937.399999999994</v>
      </c>
      <c r="E11" s="3081">
        <f t="shared" si="0"/>
        <v>17.754098360655739</v>
      </c>
    </row>
    <row r="12" spans="2:5" s="3048" customFormat="1" ht="25.5" customHeight="1">
      <c r="B12" s="3072" t="s">
        <v>5303</v>
      </c>
      <c r="C12" s="3065">
        <f>SUMIF(租赁台账!$C:$C,"=10#宿舍",租赁台账!N:N)</f>
        <v>2623.4</v>
      </c>
      <c r="D12" s="3066">
        <f>SUMIF(租赁台账!$C:$C,"=10#宿舍",租赁台账!AF:AF)</f>
        <v>48324.899999999994</v>
      </c>
      <c r="E12" s="3081">
        <f t="shared" si="0"/>
        <v>18.420713577799798</v>
      </c>
    </row>
    <row r="13" spans="2:5" s="3048" customFormat="1" ht="25.5" customHeight="1">
      <c r="B13" s="3072" t="s">
        <v>5408</v>
      </c>
      <c r="C13" s="3065">
        <f>SUMIF(租赁台账!$C:$C,"=11#宿舍",租赁台账!N:N)</f>
        <v>4797.4999999999991</v>
      </c>
      <c r="D13" s="3066">
        <f>SUMIF(租赁台账!$C:$C,"=11#宿舍",租赁台账!AF:AF)</f>
        <v>99036.39</v>
      </c>
      <c r="E13" s="3081">
        <f t="shared" si="0"/>
        <v>20.643332985930176</v>
      </c>
    </row>
    <row r="14" spans="2:5" s="3048" customFormat="1" ht="25.5" customHeight="1">
      <c r="B14" s="3072" t="s">
        <v>5490</v>
      </c>
      <c r="C14" s="3065">
        <f>SUMIF(租赁台账!$C:$C,"=12#宿舍",租赁台账!N:N)</f>
        <v>2933.2999999999956</v>
      </c>
      <c r="D14" s="3066">
        <f>SUMIF(租赁台账!$C:$C,"=12#宿舍",租赁台账!AF:AF)</f>
        <v>50087.899999999972</v>
      </c>
      <c r="E14" s="3081">
        <f t="shared" si="0"/>
        <v>17.075614495619284</v>
      </c>
    </row>
    <row r="15" spans="2:5" s="3048" customFormat="1" ht="25.5" customHeight="1">
      <c r="B15" s="3072" t="s">
        <v>5748</v>
      </c>
      <c r="C15" s="3065">
        <f>SUMIF(租赁台账!$C:$C,"=13#宿舍",租赁台账!N:N)</f>
        <v>2611.7999999999975</v>
      </c>
      <c r="D15" s="3066">
        <f>SUMIF(租赁台账!$C:$C,"=13#宿舍",租赁台账!AF:AF)</f>
        <v>50002.400000000001</v>
      </c>
      <c r="E15" s="3081">
        <f t="shared" si="0"/>
        <v>19.144804349490791</v>
      </c>
    </row>
    <row r="16" spans="2:5" s="3048" customFormat="1" ht="25.5" customHeight="1">
      <c r="B16" s="3072" t="s">
        <v>3214</v>
      </c>
      <c r="C16" s="3065">
        <f>SUMIF(租赁台账!$C:$C,"=14#宿舍",租赁台账!N:N)</f>
        <v>4567</v>
      </c>
      <c r="D16" s="3066">
        <f>SUMIF(租赁台账!$C:$C,"=14#宿舍",租赁台账!AF:AF)</f>
        <v>92724.049999999988</v>
      </c>
      <c r="E16" s="3081">
        <f t="shared" si="0"/>
        <v>20.303054521567766</v>
      </c>
    </row>
    <row r="17" spans="2:5" s="3048" customFormat="1" ht="25.5" customHeight="1">
      <c r="B17" s="3072" t="s">
        <v>3218</v>
      </c>
      <c r="C17" s="3065">
        <f>SUMIF(租赁台账!$C:$C,"=15#宿舍",租赁台账!N:N)</f>
        <v>2976.2</v>
      </c>
      <c r="D17" s="3066">
        <f>SUMIF(租赁台账!$C:$C,"=15#宿舍",租赁台账!AF:AF)</f>
        <v>53571.6</v>
      </c>
      <c r="E17" s="3081">
        <f t="shared" si="0"/>
        <v>18</v>
      </c>
    </row>
    <row r="18" spans="2:5" s="3048" customFormat="1" ht="25.5" customHeight="1">
      <c r="B18" s="3072" t="s">
        <v>3224</v>
      </c>
      <c r="C18" s="3065">
        <f>SUMIF(租赁台账!$C:$C,"=16#宿舍",租赁台账!N:N)</f>
        <v>3517.6000000000004</v>
      </c>
      <c r="D18" s="3066">
        <f>SUMIF(租赁台账!$C:$C,"=16#宿舍",租赁台账!AF:AF)</f>
        <v>65320.3</v>
      </c>
      <c r="E18" s="3081">
        <f t="shared" si="0"/>
        <v>18.56956447577894</v>
      </c>
    </row>
    <row r="19" spans="2:5" s="3048" customFormat="1" ht="25.5" customHeight="1">
      <c r="B19" s="3072" t="s">
        <v>6195</v>
      </c>
      <c r="C19" s="3065">
        <f>SUMIF(租赁台账!$C:$C,"=20#宿舍",租赁台账!N:N)</f>
        <v>3818.9999999999955</v>
      </c>
      <c r="D19" s="3066">
        <f>SUMIF(租赁台账!$C:$C,"=20#宿舍",租赁台账!AF:AF)</f>
        <v>60692.799999999988</v>
      </c>
      <c r="E19" s="3081">
        <f t="shared" si="0"/>
        <v>15.892327834511669</v>
      </c>
    </row>
    <row r="20" spans="2:5" s="3048" customFormat="1" ht="25.5" customHeight="1">
      <c r="B20" s="3072" t="s">
        <v>7024</v>
      </c>
      <c r="C20" s="3065">
        <f>SUMIF(租赁台账!$C:$C,"=1#住宅1单元",租赁台账!N:N)+SUMIF(租赁台账!$C:$C,"=1#住宅2单元",租赁台账!N:N)</f>
        <v>2054</v>
      </c>
      <c r="D20" s="3066">
        <f>SUMIF(租赁台账!$C:$C,"=1#住宅1单元",租赁台账!AF:AF)+SUMIF(租赁台账!$C:$C,"=1#住宅2单元",租赁台账!AF:AF)</f>
        <v>50916.06</v>
      </c>
      <c r="E20" s="3081">
        <f t="shared" si="0"/>
        <v>24.78873417721519</v>
      </c>
    </row>
    <row r="21" spans="2:5" s="3048" customFormat="1" ht="25.5" customHeight="1">
      <c r="B21" s="3072" t="s">
        <v>7026</v>
      </c>
      <c r="C21" s="3065">
        <f>SUMIF(租赁台账!$C:$C,"=A#宿舍",租赁台账!N:N)</f>
        <v>2062.1999999999998</v>
      </c>
      <c r="D21" s="3066">
        <f>SUMIF(租赁台账!$C:$C,"=A#宿舍",租赁台账!AF:AF)</f>
        <v>39398.699999999997</v>
      </c>
      <c r="E21" s="3081">
        <f t="shared" si="0"/>
        <v>19.105178935117834</v>
      </c>
    </row>
    <row r="22" spans="2:5" s="3048" customFormat="1" ht="25.5" customHeight="1">
      <c r="B22" s="3072" t="s">
        <v>7027</v>
      </c>
      <c r="C22" s="3065">
        <f>SUMIF(租赁台账!$C:$C,"=B#宿舍",租赁台账!N:N)</f>
        <v>2062.5</v>
      </c>
      <c r="D22" s="3066">
        <f>SUMIF(租赁台账!$C:$C,"=B#宿舍",租赁台账!AF:AF)</f>
        <v>39753.32</v>
      </c>
      <c r="E22" s="3081">
        <f t="shared" si="0"/>
        <v>19.274336969696968</v>
      </c>
    </row>
    <row r="23" spans="2:5" s="3075" customFormat="1" ht="25.5" customHeight="1">
      <c r="B23" s="3073" t="s">
        <v>7031</v>
      </c>
      <c r="C23" s="3074">
        <f>SUM(C3:C22)</f>
        <v>60837.299999999981</v>
      </c>
      <c r="D23" s="3082">
        <f>SUM(D3:D22)</f>
        <v>1109345.82</v>
      </c>
      <c r="E23" s="3083">
        <f t="shared" si="0"/>
        <v>18.234632700662264</v>
      </c>
    </row>
    <row r="24" spans="2:5" s="3048" customFormat="1" ht="25.5" customHeight="1">
      <c r="B24" s="3072" t="s">
        <v>7023</v>
      </c>
      <c r="C24" s="3065">
        <f>SUMIF(租赁台账!$C:$C,"=1#厂房",租赁台账!N:N)</f>
        <v>16293.89</v>
      </c>
      <c r="D24" s="3066">
        <f>SUMIF(租赁台账!$C:$C,"=1#厂房",租赁台账!AF:AF)</f>
        <v>609391</v>
      </c>
      <c r="E24" s="3081">
        <f t="shared" si="0"/>
        <v>37.399970172868478</v>
      </c>
    </row>
    <row r="25" spans="2:5" s="3048" customFormat="1" ht="25.5" customHeight="1">
      <c r="B25" s="3072" t="s">
        <v>3097</v>
      </c>
      <c r="C25" s="3065">
        <f>SUMIF(租赁台账!$C:$C,"=2#厂房",租赁台账!N:N)</f>
        <v>16318</v>
      </c>
      <c r="D25" s="3066">
        <f>SUMIF(租赁台账!$C:$C,"=2#厂房",租赁台账!AF:AF)</f>
        <v>458862.16</v>
      </c>
      <c r="E25" s="3081">
        <f t="shared" si="0"/>
        <v>28.119999999999997</v>
      </c>
    </row>
    <row r="26" spans="2:5" s="3048" customFormat="1" ht="25.5" customHeight="1">
      <c r="B26" s="3072" t="s">
        <v>3106</v>
      </c>
      <c r="C26" s="3065">
        <f>SUMIF(租赁台账!$C:$C,"=3#厂房",租赁台账!N:N)</f>
        <v>16332.000000000002</v>
      </c>
      <c r="D26" s="3066">
        <f>SUMIF(租赁台账!$C:$C,"=3#厂房",租赁台账!AF:AF)</f>
        <v>87792</v>
      </c>
      <c r="E26" s="3081">
        <f t="shared" si="0"/>
        <v>5.3754592211609102</v>
      </c>
    </row>
    <row r="27" spans="2:5" s="3048" customFormat="1" ht="25.5" customHeight="1">
      <c r="B27" s="3072" t="s">
        <v>3121</v>
      </c>
      <c r="C27" s="3065">
        <f>SUMIF(租赁台账!$C:$C,"=4#厂房",租赁台账!N:N)</f>
        <v>12274</v>
      </c>
      <c r="D27" s="3066">
        <f>SUMIF(租赁台账!$C:$C,"=4#厂房",租赁台账!AF:AF)</f>
        <v>291380</v>
      </c>
      <c r="E27" s="3081">
        <f t="shared" si="0"/>
        <v>23.739612188365651</v>
      </c>
    </row>
    <row r="28" spans="2:5" s="3048" customFormat="1" ht="25.5" customHeight="1">
      <c r="B28" s="3072" t="s">
        <v>3630</v>
      </c>
      <c r="C28" s="3065">
        <f>SUMIF(租赁台账!$C:$C,"=6#厂房",租赁台账!N:N)</f>
        <v>15130</v>
      </c>
      <c r="D28" s="3066">
        <f>SUMIF(租赁台账!$C:$C,"=6#厂房",租赁台账!AF:AF)</f>
        <v>388809.85000000003</v>
      </c>
      <c r="E28" s="3081">
        <f t="shared" si="0"/>
        <v>25.697941176470589</v>
      </c>
    </row>
    <row r="29" spans="2:5" s="3048" customFormat="1" ht="25.5" customHeight="1">
      <c r="B29" s="3072" t="s">
        <v>3710</v>
      </c>
      <c r="C29" s="3065">
        <f>SUMIF(租赁台账!$C:$C,"=7#厂房",租赁台账!N:N)</f>
        <v>16807.240000000002</v>
      </c>
      <c r="D29" s="3066">
        <f>SUMIF(租赁台账!$C:$C,"=7#厂房",租赁台账!AF:AF)</f>
        <v>442301.96</v>
      </c>
      <c r="E29" s="3081">
        <f t="shared" si="0"/>
        <v>26.316156608699583</v>
      </c>
    </row>
    <row r="30" spans="2:5" s="3048" customFormat="1" ht="25.5" customHeight="1">
      <c r="B30" s="3072" t="s">
        <v>3181</v>
      </c>
      <c r="C30" s="3065">
        <f>SUMIF(租赁台账!$C:$C,"=8#厂房",租赁台账!N:N)</f>
        <v>12982</v>
      </c>
      <c r="D30" s="3066">
        <f>SUMIF(租赁台账!$C:$C,"=8#厂房",租赁台账!AF:AF)</f>
        <v>340395</v>
      </c>
      <c r="E30" s="3081">
        <f t="shared" si="0"/>
        <v>26.220536126944999</v>
      </c>
    </row>
    <row r="31" spans="2:5" s="3048" customFormat="1" ht="25.5" customHeight="1">
      <c r="B31" s="3072" t="s">
        <v>3846</v>
      </c>
      <c r="C31" s="3065">
        <f>SUMIF(租赁台账!$C:$C,"=9#厂房",租赁台账!N:N)</f>
        <v>13066</v>
      </c>
      <c r="D31" s="3066">
        <f>SUMIF(租赁台账!$C:$C,"=9#厂房",租赁台账!AF:AF)</f>
        <v>312476</v>
      </c>
      <c r="E31" s="3081">
        <f t="shared" si="0"/>
        <v>23.915199755089546</v>
      </c>
    </row>
    <row r="32" spans="2:5" s="3048" customFormat="1" ht="25.5" customHeight="1">
      <c r="B32" s="3072" t="s">
        <v>3252</v>
      </c>
      <c r="C32" s="3065">
        <f>SUMIF(租赁台账!$C:$C,"=仓库",租赁台账!N:N)</f>
        <v>6913</v>
      </c>
      <c r="D32" s="3066">
        <f>SUMIF(租赁台账!$C:$C,"=仓库",租赁台账!AF:AF)</f>
        <v>156770.18</v>
      </c>
      <c r="E32" s="3081">
        <f t="shared" si="0"/>
        <v>22.67759004773615</v>
      </c>
    </row>
    <row r="33" spans="2:5" s="3048" customFormat="1" ht="25.5" customHeight="1">
      <c r="B33" s="3072" t="s">
        <v>7025</v>
      </c>
      <c r="C33" s="3065">
        <f>SUMIF(租赁台账!$C:$C,"=饭堂",租赁台账!N:N)</f>
        <v>6888.75</v>
      </c>
      <c r="D33" s="3066">
        <f>SUMIF(租赁台账!$C:$C,"=饭堂",租赁台账!AF:AF)</f>
        <v>155853.91999999998</v>
      </c>
      <c r="E33" s="3081">
        <f t="shared" si="0"/>
        <v>22.624412266376336</v>
      </c>
    </row>
    <row r="34" spans="2:5" s="3075" customFormat="1" ht="25.5" customHeight="1">
      <c r="B34" s="3073" t="s">
        <v>7031</v>
      </c>
      <c r="C34" s="3074">
        <f>SUM(C24:C33)</f>
        <v>133004.88</v>
      </c>
      <c r="D34" s="3082">
        <f>SUM(D24:D33)</f>
        <v>3244032.0700000003</v>
      </c>
      <c r="E34" s="3083">
        <f t="shared" si="0"/>
        <v>24.390323648275164</v>
      </c>
    </row>
    <row r="35" spans="2:5" s="3075" customFormat="1" ht="25.5" customHeight="1" thickBot="1">
      <c r="B35" s="3076" t="s">
        <v>7030</v>
      </c>
      <c r="C35" s="3077">
        <f>C23+C34</f>
        <v>193842.18</v>
      </c>
      <c r="D35" s="3084">
        <f>D23+D34</f>
        <v>4353377.8900000006</v>
      </c>
      <c r="E35" s="3085">
        <f t="shared" si="0"/>
        <v>22.458362209917372</v>
      </c>
    </row>
    <row r="36" spans="2:5" s="3075" customFormat="1" ht="25.5" customHeight="1" thickBot="1">
      <c r="B36" s="3076"/>
      <c r="C36" s="3077">
        <f>抵押物情况汇总!L43</f>
        <v>192636.23</v>
      </c>
      <c r="D36" s="3084"/>
      <c r="E36" s="3085">
        <f>D35/C36</f>
        <v>22.598957060154262</v>
      </c>
    </row>
  </sheetData>
  <phoneticPr fontId="143"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94" zoomScaleSheetLayoutView="100" zoomScalePageLayoutView="80" workbookViewId="0">
      <selection activeCell="I113" sqref="I113"/>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2" t="s">
        <v>2112</v>
      </c>
      <c r="B1" s="2415"/>
      <c r="C1" s="2416"/>
      <c r="D1" s="2415"/>
      <c r="E1" s="2415"/>
      <c r="F1" s="2417" t="s">
        <v>2113</v>
      </c>
      <c r="G1" s="2068" t="s">
        <v>3049</v>
      </c>
      <c r="H1" s="2418" t="str">
        <f>IF(G1="现房","——","估价对象范围")</f>
        <v>——</v>
      </c>
      <c r="I1" s="2419" t="s">
        <v>3050</v>
      </c>
    </row>
    <row r="2" spans="1:12" ht="21.75" customHeight="1" thickBot="1">
      <c r="A2" s="3321" t="str">
        <f>项目基本情况!S2</f>
        <v>广东省深圳市龙岗区布吉镇沙湾“百门前工业区”工业项目局部房地产</v>
      </c>
      <c r="B2" s="3322"/>
      <c r="C2" s="3322"/>
      <c r="D2" s="3322"/>
      <c r="E2" s="3322"/>
      <c r="F2" s="3322"/>
      <c r="G2" s="3322"/>
      <c r="H2" s="3322"/>
      <c r="I2" s="3323"/>
    </row>
    <row r="3" spans="1:12" ht="12.75">
      <c r="A3" s="3324" t="s">
        <v>2114</v>
      </c>
      <c r="B3" s="3325"/>
      <c r="C3" s="3325"/>
      <c r="D3" s="3325"/>
      <c r="E3" s="3325"/>
      <c r="F3" s="3325"/>
      <c r="G3" s="3325"/>
      <c r="H3" s="3325"/>
      <c r="I3" s="3325"/>
    </row>
    <row r="4" spans="1:12" ht="14.25">
      <c r="A4" s="2422" t="s">
        <v>2115</v>
      </c>
      <c r="B4" s="2423" t="s">
        <v>2116</v>
      </c>
      <c r="C4" s="2424" t="s">
        <v>3048</v>
      </c>
      <c r="D4" s="2424" t="s">
        <v>3322</v>
      </c>
      <c r="E4" s="3305" t="s">
        <v>2117</v>
      </c>
      <c r="F4" s="3318"/>
      <c r="G4" s="3318"/>
      <c r="H4" s="3318"/>
      <c r="I4" s="3306"/>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收益法</v>
      </c>
    </row>
    <row r="5" spans="1:12" ht="12.75">
      <c r="A5" s="3296" t="s">
        <v>2118</v>
      </c>
      <c r="B5" s="3204">
        <v>25</v>
      </c>
      <c r="C5" s="3326"/>
      <c r="D5" s="3314"/>
      <c r="E5" s="140" t="s">
        <v>2119</v>
      </c>
      <c r="F5" s="2426"/>
      <c r="G5" s="2426"/>
      <c r="H5" s="2426"/>
      <c r="I5" s="1831"/>
    </row>
    <row r="6" spans="1:12" ht="12.75">
      <c r="A6" s="3296"/>
      <c r="B6" s="3204"/>
      <c r="C6" s="3328"/>
      <c r="D6" s="3314"/>
      <c r="E6" s="140" t="s">
        <v>2120</v>
      </c>
      <c r="F6" s="2426"/>
      <c r="G6" s="2426"/>
      <c r="H6" s="2426"/>
      <c r="I6" s="1831"/>
    </row>
    <row r="7" spans="1:12" ht="12.75">
      <c r="A7" s="3296"/>
      <c r="B7" s="3204"/>
      <c r="C7" s="3327"/>
      <c r="D7" s="3314"/>
      <c r="E7" s="140" t="s">
        <v>2121</v>
      </c>
      <c r="F7" s="2426"/>
      <c r="G7" s="2426"/>
      <c r="H7" s="2426"/>
      <c r="I7" s="1831"/>
    </row>
    <row r="8" spans="1:12" ht="12.75">
      <c r="A8" s="3296" t="s">
        <v>2122</v>
      </c>
      <c r="B8" s="3204">
        <v>15</v>
      </c>
      <c r="C8" s="3326"/>
      <c r="D8" s="3314"/>
      <c r="E8" s="140" t="s">
        <v>2123</v>
      </c>
      <c r="F8" s="2426"/>
      <c r="G8" s="2426"/>
      <c r="H8" s="2426"/>
      <c r="I8" s="1831"/>
    </row>
    <row r="9" spans="1:12" ht="12.75">
      <c r="A9" s="3296"/>
      <c r="B9" s="3204"/>
      <c r="C9" s="3327"/>
      <c r="D9" s="3314"/>
      <c r="E9" s="140" t="s">
        <v>2124</v>
      </c>
      <c r="F9" s="2426"/>
      <c r="G9" s="2426"/>
      <c r="H9" s="2426"/>
      <c r="I9" s="1831"/>
    </row>
    <row r="10" spans="1:12" ht="12.75">
      <c r="A10" s="3296" t="s">
        <v>2125</v>
      </c>
      <c r="B10" s="3204">
        <v>15</v>
      </c>
      <c r="C10" s="3326"/>
      <c r="D10" s="3314"/>
      <c r="E10" s="140" t="s">
        <v>2126</v>
      </c>
      <c r="F10" s="2426"/>
      <c r="G10" s="2426"/>
      <c r="H10" s="2426"/>
      <c r="I10" s="1831"/>
    </row>
    <row r="11" spans="1:12" ht="12.75">
      <c r="A11" s="3296"/>
      <c r="B11" s="3204"/>
      <c r="C11" s="3327"/>
      <c r="D11" s="3314"/>
      <c r="E11" s="140" t="s">
        <v>2127</v>
      </c>
      <c r="F11" s="2426"/>
      <c r="G11" s="2426"/>
      <c r="H11" s="2426"/>
      <c r="I11" s="1831"/>
    </row>
    <row r="12" spans="1:12" ht="12.75">
      <c r="A12" s="3296" t="s">
        <v>2128</v>
      </c>
      <c r="B12" s="3204">
        <v>15</v>
      </c>
      <c r="C12" s="3326"/>
      <c r="D12" s="3314"/>
      <c r="E12" s="140" t="s">
        <v>2129</v>
      </c>
      <c r="F12" s="2426"/>
      <c r="G12" s="2426"/>
      <c r="H12" s="2426"/>
      <c r="I12" s="1831"/>
    </row>
    <row r="13" spans="1:12" ht="12.75">
      <c r="A13" s="3296"/>
      <c r="B13" s="3204"/>
      <c r="C13" s="3327"/>
      <c r="D13" s="3314"/>
      <c r="E13" s="140" t="s">
        <v>2130</v>
      </c>
      <c r="F13" s="2426"/>
      <c r="G13" s="2426"/>
      <c r="H13" s="2426"/>
      <c r="I13" s="1831"/>
    </row>
    <row r="14" spans="1:12" ht="12.75">
      <c r="A14" s="3296" t="s">
        <v>2131</v>
      </c>
      <c r="B14" s="3204">
        <v>30</v>
      </c>
      <c r="C14" s="3326">
        <v>4</v>
      </c>
      <c r="D14" s="3314">
        <v>6</v>
      </c>
      <c r="E14" s="140" t="s">
        <v>2132</v>
      </c>
      <c r="F14" s="2426"/>
      <c r="G14" s="2426"/>
      <c r="H14" s="2426"/>
      <c r="I14" s="1831"/>
    </row>
    <row r="15" spans="1:12" ht="12.75">
      <c r="A15" s="3296"/>
      <c r="B15" s="3204"/>
      <c r="C15" s="3328"/>
      <c r="D15" s="3314"/>
      <c r="E15" s="140" t="s">
        <v>2133</v>
      </c>
      <c r="F15" s="2426"/>
      <c r="G15" s="2426"/>
      <c r="H15" s="2426"/>
      <c r="I15" s="1831"/>
    </row>
    <row r="16" spans="1:12" ht="12.75">
      <c r="A16" s="3296"/>
      <c r="B16" s="3204"/>
      <c r="C16" s="3327"/>
      <c r="D16" s="3314"/>
      <c r="E16" s="140" t="s">
        <v>2134</v>
      </c>
      <c r="F16" s="2426"/>
      <c r="G16" s="2426"/>
      <c r="H16" s="2426"/>
      <c r="I16" s="1831"/>
    </row>
    <row r="17" spans="1:35" ht="15">
      <c r="A17" s="2427" t="s">
        <v>2135</v>
      </c>
      <c r="B17" s="64"/>
      <c r="C17" s="141">
        <f>SUM(C5:C16)</f>
        <v>4</v>
      </c>
      <c r="D17" s="141">
        <f>SUM(D5:D16)</f>
        <v>6</v>
      </c>
      <c r="E17" s="138"/>
      <c r="F17" s="138"/>
      <c r="G17" s="138"/>
      <c r="H17" s="138"/>
      <c r="I17" s="138"/>
      <c r="K17" s="2425"/>
      <c r="L17" s="2428" t="s">
        <v>2136</v>
      </c>
      <c r="M17" s="2428" t="s">
        <v>2137</v>
      </c>
    </row>
    <row r="18" spans="1:35" ht="15.75" thickBot="1">
      <c r="A18" s="2429" t="s">
        <v>2138</v>
      </c>
      <c r="B18" s="2430"/>
      <c r="C18" s="142">
        <f>ROUND(C17/SUM(C17:D17),2)</f>
        <v>0.4</v>
      </c>
      <c r="D18" s="142">
        <f>1-C18</f>
        <v>0.6</v>
      </c>
      <c r="E18" s="138"/>
      <c r="F18" s="138"/>
      <c r="G18" s="138"/>
      <c r="H18" s="138"/>
      <c r="I18" s="138"/>
      <c r="K18" s="2425" t="s">
        <v>2139</v>
      </c>
      <c r="L18" s="2425">
        <f>IF(C1="",'数据-汇总表'!E3,SUMIF(项目类型,C1,'数据-汇总表'!E17:E26)+SUMIF(项目类型,C1,'数据-汇总表'!I17:I26))</f>
        <v>193040.62000000002</v>
      </c>
      <c r="M18" s="2425">
        <f>IF(C1="",'数据-汇总表'!E3,SUMIF(项目类型,C1,'数据-汇总表'!E17:E26))</f>
        <v>193040.62000000002</v>
      </c>
    </row>
    <row r="19" spans="1:35" ht="15">
      <c r="A19" s="2431" t="s">
        <v>2140</v>
      </c>
      <c r="B19" s="2432" t="s">
        <v>2141</v>
      </c>
      <c r="C19" s="143">
        <f ca="1">SUMIF(INDIRECT("'"&amp;C4&amp;"'"&amp;"!A:A"),结果表!B19,INDIRECT("'"&amp;C4&amp;"'"&amp;"!B:B"))</f>
        <v>101560</v>
      </c>
      <c r="D19" s="144">
        <f ca="1">SUMIF(INDIRECT("'"&amp;D4&amp;"'"&amp;"!A:A"),结果表!B19,INDIRECT("'"&amp;D4&amp;"'"&amp;"!B:B"))</f>
        <v>68752</v>
      </c>
      <c r="E19" s="2431" t="s">
        <v>2142</v>
      </c>
      <c r="F19" s="2432" t="s">
        <v>2141</v>
      </c>
      <c r="G19" s="145">
        <f ca="1">ROUND(C19*$C$18+D19*$D$18,0)</f>
        <v>81875</v>
      </c>
      <c r="H19" s="2433" t="s">
        <v>2143</v>
      </c>
      <c r="I19" s="138"/>
      <c r="K19" s="2425" t="s">
        <v>2144</v>
      </c>
      <c r="L19" s="2425">
        <f>IF(C1="",'数据-汇总表'!D3,SUMIF(项目类型,C1,'数据-汇总表'!D17:D26)+SUMIF(项目类型,C1,'数据-汇总表'!H17:H27))</f>
        <v>95897.74</v>
      </c>
      <c r="M19" s="2425">
        <f>IF(C1="",'数据-汇总表'!D3,SUMIF(项目类型,C1,'数据-汇总表'!D17:D26))</f>
        <v>95897.74</v>
      </c>
    </row>
    <row r="20" spans="1:35" ht="15">
      <c r="A20" s="2434"/>
      <c r="B20" s="1247" t="s">
        <v>2145</v>
      </c>
      <c r="C20" s="146">
        <f ca="1">SUMIF(INDIRECT("'"&amp;C4&amp;"'"&amp;"!A:A"),结果表!B20,INDIRECT("'"&amp;C4&amp;"'"&amp;"!B:B"))</f>
        <v>5261</v>
      </c>
      <c r="D20" s="147">
        <f ca="1">SUMIF(INDIRECT("'"&amp;D4&amp;"'"&amp;"!A:A"),结果表!B20,INDIRECT("'"&amp;D4&amp;"'"&amp;"!B:B"))</f>
        <v>3569</v>
      </c>
      <c r="E20" s="2434"/>
      <c r="F20" s="1247" t="s">
        <v>2145</v>
      </c>
      <c r="G20" s="148">
        <f ca="1">ROUND(C20*$C$18+D20*$D$18,0)</f>
        <v>4246</v>
      </c>
      <c r="H20" s="980" t="s">
        <v>2146</v>
      </c>
      <c r="I20" s="138"/>
    </row>
    <row r="21" spans="1:35" ht="15" customHeight="1" thickBot="1">
      <c r="A21" s="1000"/>
      <c r="B21" s="2435" t="s">
        <v>2147</v>
      </c>
      <c r="C21" s="789">
        <f ca="1">ROUND(C19*10000/L19,0)</f>
        <v>10590</v>
      </c>
      <c r="D21" s="790">
        <f ca="1">ROUND(D19*10000/L19,0)</f>
        <v>7169</v>
      </c>
      <c r="E21" s="1000"/>
      <c r="F21" s="2435" t="s">
        <v>2147</v>
      </c>
      <c r="G21" s="149">
        <f ca="1">ROUND(G19*10000/L19,0)</f>
        <v>8538</v>
      </c>
      <c r="H21" s="2436" t="s">
        <v>2146</v>
      </c>
      <c r="I21" s="138"/>
    </row>
    <row r="22" spans="1:35" ht="15" thickBot="1">
      <c r="A22" s="2277" t="s">
        <v>2148</v>
      </c>
      <c r="B22" s="2437"/>
      <c r="C22" s="2438"/>
      <c r="D22" s="791">
        <f ca="1">IF(C19&lt;D19,D19/C19-1,C19/D19-1)</f>
        <v>0.47719339073772393</v>
      </c>
      <c r="E22" s="138"/>
      <c r="F22" s="138"/>
      <c r="G22" s="138"/>
      <c r="H22" s="138"/>
      <c r="I22" s="138"/>
    </row>
    <row r="23" spans="1:35" ht="13.5" thickBot="1">
      <c r="A23" s="2415"/>
      <c r="B23" s="2415"/>
      <c r="C23" s="2415"/>
      <c r="D23" s="2415"/>
      <c r="E23" s="138"/>
      <c r="F23" s="138"/>
      <c r="G23" s="138"/>
      <c r="H23" s="138"/>
      <c r="I23" s="138"/>
    </row>
    <row r="24" spans="1:35" ht="14.25">
      <c r="A24" s="3335" t="s">
        <v>2149</v>
      </c>
      <c r="B24" s="2432" t="s">
        <v>2141</v>
      </c>
      <c r="C24" s="145">
        <f>IF(B30=0,0,D30)</f>
        <v>0</v>
      </c>
      <c r="D24" s="2439"/>
      <c r="E24" s="138"/>
      <c r="F24" s="138"/>
      <c r="G24" s="138"/>
      <c r="H24" s="138"/>
      <c r="I24" s="138"/>
    </row>
    <row r="25" spans="1:35" ht="14.25">
      <c r="A25" s="3336"/>
      <c r="B25" s="1247" t="s">
        <v>2145</v>
      </c>
      <c r="C25" s="150">
        <f>IF(B30=0,0,C30)</f>
        <v>0</v>
      </c>
      <c r="D25" s="2440"/>
      <c r="E25" s="138"/>
      <c r="F25" s="138"/>
      <c r="G25" s="138"/>
      <c r="H25" s="138"/>
      <c r="I25" s="138"/>
    </row>
    <row r="26" spans="1:35" ht="13.5" customHeight="1">
      <c r="A26" s="2441" t="s">
        <v>2150</v>
      </c>
      <c r="B26" s="151" t="s">
        <v>2151</v>
      </c>
      <c r="C26" s="151" t="s">
        <v>2152</v>
      </c>
      <c r="D26" s="152" t="s">
        <v>2153</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2154</v>
      </c>
      <c r="B30" s="151"/>
      <c r="C30" s="151"/>
      <c r="D30" s="151"/>
      <c r="E30" s="2922" t="s">
        <v>3030</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2155</v>
      </c>
      <c r="B32" s="2445"/>
      <c r="C32" s="153">
        <f ca="1">IF(D32="总价",G19-C24,G20-C25)</f>
        <v>81875</v>
      </c>
      <c r="D32" s="2446" t="s">
        <v>2156</v>
      </c>
      <c r="E32" s="138"/>
      <c r="F32" s="138"/>
      <c r="G32" s="138"/>
      <c r="H32" s="138"/>
      <c r="I32" s="138"/>
    </row>
    <row r="33" spans="1:15" ht="15">
      <c r="A33" s="957" t="s">
        <v>2157</v>
      </c>
      <c r="B33" s="2447"/>
      <c r="C33" s="2448" t="s">
        <v>3047</v>
      </c>
      <c r="D33" s="2449" t="s">
        <v>3048</v>
      </c>
      <c r="E33" s="2450" t="s">
        <v>2158</v>
      </c>
      <c r="F33" s="2451" t="str">
        <f>IF(D32="楼面单价","取值（单价）","取值（总价）")</f>
        <v>取值（总价）</v>
      </c>
      <c r="G33" s="138"/>
      <c r="H33" s="138"/>
      <c r="I33" s="138"/>
    </row>
    <row r="34" spans="1:15" ht="15">
      <c r="A34" s="2452"/>
      <c r="B34" s="2453" t="s">
        <v>2159</v>
      </c>
      <c r="C34" s="157">
        <f ca="1">IF(C33="自定义",F34,C32-C35)</f>
        <v>60915</v>
      </c>
      <c r="D34" s="1055">
        <f ca="1">IF(C33="自定义",ROUND(C34/C32,3),IF(C33="收益比率",SUMIF(INDIRECT("'"&amp;D33&amp;"'"&amp;"!b:b"),"土地收益比率",INDIRECT("'"&amp;D33&amp;"'"&amp;"!c:c")),SUMIF(INDIRECT("'"&amp;D33&amp;"'"&amp;"!b:b"),"土地成本比率",INDIRECT("'"&amp;D33&amp;"'"&amp;"!c:c"))))</f>
        <v>0.74399999999999999</v>
      </c>
      <c r="E34" s="2454" t="s">
        <v>2160</v>
      </c>
      <c r="F34" s="1736"/>
      <c r="G34" s="138"/>
      <c r="H34" s="138"/>
      <c r="I34" s="138"/>
    </row>
    <row r="35" spans="1:15" ht="15.75" thickBot="1">
      <c r="A35" s="2455"/>
      <c r="B35" s="2456" t="s">
        <v>2161</v>
      </c>
      <c r="C35" s="1441">
        <f ca="1">IF(C33="自定义",F35,ROUND(C32*D35,0))</f>
        <v>20960</v>
      </c>
      <c r="D35" s="1442">
        <f ca="1">IF(C33="自定义",ROUND(C35/C32,3),IF(C33="收益比率",SUMIF(INDIRECT("'"&amp;D33&amp;"'"&amp;"!b:b"),"建筑物收益比率",INDIRECT("'"&amp;D33&amp;"'"&amp;"!c:c")),SUMIF(INDIRECT("'"&amp;D33&amp;"'"&amp;"!b:b"),"建筑物成本比率",INDIRECT("'"&amp;D33&amp;"'"&amp;"!c:c"))))</f>
        <v>0.25600000000000001</v>
      </c>
      <c r="E35" s="2457" t="s">
        <v>2162</v>
      </c>
      <c r="F35" s="163"/>
      <c r="G35" s="138"/>
      <c r="H35" s="138"/>
      <c r="I35" s="138"/>
    </row>
    <row r="36" spans="1:15" ht="15.75" thickBot="1">
      <c r="A36" s="3315" t="s">
        <v>2163</v>
      </c>
      <c r="B36" s="2458" t="s">
        <v>2164</v>
      </c>
      <c r="C36" s="154"/>
      <c r="D36" s="2459"/>
      <c r="E36" s="2460"/>
      <c r="F36" s="2461"/>
      <c r="G36" s="138"/>
      <c r="H36" s="138"/>
      <c r="I36" s="138"/>
    </row>
    <row r="37" spans="1:15" ht="15.75" thickBot="1">
      <c r="A37" s="3316"/>
      <c r="B37" s="2263" t="s">
        <v>2165</v>
      </c>
      <c r="C37" s="156"/>
      <c r="D37" s="1392"/>
      <c r="E37" s="1392"/>
      <c r="F37" s="2461"/>
      <c r="G37" s="138"/>
      <c r="H37" s="138"/>
      <c r="I37" s="138"/>
    </row>
    <row r="38" spans="1:15" ht="15.75" thickBot="1">
      <c r="A38" s="3317"/>
      <c r="B38" s="2462" t="s">
        <v>2166</v>
      </c>
      <c r="C38" s="727"/>
      <c r="D38" s="2463" t="s">
        <v>2167</v>
      </c>
      <c r="E38" s="1392"/>
      <c r="F38" s="2461"/>
      <c r="G38" s="138"/>
      <c r="H38" s="138"/>
      <c r="I38" s="138"/>
    </row>
    <row r="39" spans="1:15" ht="15">
      <c r="A39" s="2434" t="s">
        <v>2168</v>
      </c>
      <c r="B39" s="2464" t="s">
        <v>2169</v>
      </c>
      <c r="C39" s="2465" t="s">
        <v>2170</v>
      </c>
      <c r="D39" s="2465" t="s">
        <v>2171</v>
      </c>
      <c r="E39" s="2466" t="s">
        <v>2172</v>
      </c>
      <c r="F39" s="2461"/>
      <c r="G39" s="138"/>
      <c r="H39" s="138"/>
      <c r="I39" s="138"/>
    </row>
    <row r="40" spans="1:15" ht="14.25">
      <c r="A40" s="2467" t="s">
        <v>2173</v>
      </c>
      <c r="B40" s="158"/>
      <c r="C40" s="159"/>
      <c r="D40" s="159"/>
      <c r="E40" s="160"/>
      <c r="F40" s="2461"/>
      <c r="G40" s="138"/>
      <c r="H40" s="138"/>
      <c r="I40" s="138"/>
    </row>
    <row r="41" spans="1:15" ht="14.25">
      <c r="A41" s="2467" t="s">
        <v>2174</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2"/>
      <c r="B43" s="2162"/>
      <c r="C43" s="2162"/>
      <c r="D43" s="2162"/>
      <c r="E43" s="2162"/>
      <c r="F43" s="2469"/>
      <c r="G43" s="2469"/>
      <c r="H43" s="2469"/>
      <c r="I43" s="2470"/>
    </row>
    <row r="44" spans="1:15" ht="18.75">
      <c r="A44" s="2471" t="s">
        <v>2175</v>
      </c>
      <c r="B44" s="2472"/>
      <c r="C44" s="2472"/>
      <c r="D44" s="2473"/>
      <c r="E44" s="2473"/>
      <c r="F44" s="2474"/>
      <c r="G44" s="2474"/>
      <c r="H44" s="2474"/>
      <c r="I44" s="2474"/>
      <c r="J44" s="2475" t="s">
        <v>2176</v>
      </c>
      <c r="K44" s="2476"/>
      <c r="L44" s="2476"/>
      <c r="M44" s="2476"/>
      <c r="N44" s="2476"/>
      <c r="O44" s="2476"/>
    </row>
    <row r="45" spans="1:15" ht="14.25" customHeight="1" thickBot="1">
      <c r="A45" s="3332" t="s">
        <v>2177</v>
      </c>
      <c r="B45" s="3333"/>
      <c r="C45" s="3334"/>
      <c r="D45" s="164">
        <f ca="1">ROUND(H101*F45,0)</f>
        <v>81875</v>
      </c>
      <c r="E45" s="165" t="s">
        <v>2178</v>
      </c>
      <c r="F45" s="166">
        <v>1</v>
      </c>
      <c r="G45" s="167" t="s">
        <v>2179</v>
      </c>
      <c r="H45" s="138"/>
      <c r="I45" s="138"/>
      <c r="J45" s="3251" t="s">
        <v>2180</v>
      </c>
      <c r="K45" s="3251"/>
      <c r="L45" s="3251"/>
      <c r="M45" s="3251"/>
      <c r="N45" s="3251"/>
      <c r="O45" s="3251"/>
    </row>
    <row r="46" spans="1:15" ht="14.25" customHeight="1">
      <c r="A46" s="3329" t="s">
        <v>2181</v>
      </c>
      <c r="B46" s="3330"/>
      <c r="C46" s="3330"/>
      <c r="D46" s="3330"/>
      <c r="E46" s="3330"/>
      <c r="F46" s="3330"/>
      <c r="G46" s="3331"/>
      <c r="H46" s="2477"/>
      <c r="I46" s="168"/>
      <c r="J46" s="1809">
        <v>1</v>
      </c>
      <c r="K46" s="3251" t="s">
        <v>2182</v>
      </c>
      <c r="L46" s="3251"/>
      <c r="M46" s="3252"/>
      <c r="N46" s="3252"/>
      <c r="O46" s="3252"/>
    </row>
    <row r="47" spans="1:15" ht="12" customHeight="1">
      <c r="A47" s="169" t="s">
        <v>2183</v>
      </c>
      <c r="B47" s="170"/>
      <c r="C47" s="171"/>
      <c r="D47" s="172" t="s">
        <v>2184</v>
      </c>
      <c r="E47" s="24" t="s">
        <v>2185</v>
      </c>
      <c r="F47" s="173" t="s">
        <v>2186</v>
      </c>
      <c r="G47" s="174" t="s">
        <v>2187</v>
      </c>
      <c r="H47" s="2477"/>
      <c r="I47" s="168"/>
      <c r="J47" s="1809">
        <v>2</v>
      </c>
      <c r="K47" s="3251" t="s">
        <v>2188</v>
      </c>
      <c r="L47" s="3251"/>
      <c r="M47" s="3253">
        <f>'数据-取费表'!B2</f>
        <v>43544</v>
      </c>
      <c r="N47" s="3253"/>
      <c r="O47" s="3253"/>
    </row>
    <row r="48" spans="1:15" ht="25.5">
      <c r="A48" s="3319" t="s">
        <v>2189</v>
      </c>
      <c r="B48" s="3320"/>
      <c r="C48" s="3320"/>
      <c r="D48" s="140">
        <f>IF(H48="情况1",0,IF(H48="情况2",D52,IF(H48="情况3",D53,IF(H48="情况4",D54))))</f>
        <v>0</v>
      </c>
      <c r="E48" s="1798" t="str">
        <f>IF(H48="情况4","(销售额-原购置价)×税（费）率","销售额×税（费）率")</f>
        <v>销售额×税（费）率</v>
      </c>
      <c r="F48" s="175" t="str">
        <f>IF(H48="情况1","免征",'数据-取费表'!B41)</f>
        <v>免征</v>
      </c>
      <c r="G48" s="2478" t="s">
        <v>2190</v>
      </c>
      <c r="H48" s="2479" t="s">
        <v>2191</v>
      </c>
      <c r="I48" s="2477"/>
      <c r="J48" s="1809">
        <v>3</v>
      </c>
      <c r="K48" s="3251" t="s">
        <v>2192</v>
      </c>
      <c r="L48" s="3251"/>
      <c r="M48" s="3254">
        <f ca="1">H101</f>
        <v>81875</v>
      </c>
      <c r="N48" s="3254"/>
      <c r="O48" s="3254"/>
    </row>
    <row r="49" spans="1:35" ht="25.5" customHeight="1">
      <c r="A49" s="176" t="s">
        <v>2193</v>
      </c>
      <c r="B49" s="3299" t="s">
        <v>2194</v>
      </c>
      <c r="C49" s="3299"/>
      <c r="D49" s="177">
        <v>0</v>
      </c>
      <c r="E49" s="23" t="s">
        <v>2195</v>
      </c>
      <c r="F49" s="28" t="s">
        <v>34</v>
      </c>
      <c r="G49" s="3280"/>
      <c r="H49" s="138"/>
      <c r="I49" s="2480"/>
      <c r="J49" s="1809">
        <v>4</v>
      </c>
      <c r="K49" s="3251" t="str">
        <f>IF(项目基本情况!E8="房地产抵押价值","房地产抵押价值","抵押担保权已注销时的房地产抵押价值")</f>
        <v>抵押担保权已注销时的房地产抵押价值</v>
      </c>
      <c r="L49" s="3251"/>
      <c r="M49" s="3254">
        <f ca="1">IF(项目基本情况!E8="房地产抵押价值",H107,H109)</f>
        <v>81875</v>
      </c>
      <c r="N49" s="3254"/>
      <c r="O49" s="3254"/>
    </row>
    <row r="50" spans="1:35" ht="25.5" customHeight="1">
      <c r="A50" s="178"/>
      <c r="B50" s="3299" t="s">
        <v>2196</v>
      </c>
      <c r="C50" s="3299"/>
      <c r="D50" s="179"/>
      <c r="E50" s="31"/>
      <c r="F50" s="180"/>
      <c r="G50" s="3281"/>
      <c r="H50" s="138"/>
      <c r="I50" s="2480"/>
      <c r="J50" s="3251" t="s">
        <v>2197</v>
      </c>
      <c r="K50" s="3251"/>
      <c r="L50" s="3251"/>
      <c r="M50" s="3251"/>
      <c r="N50" s="3251"/>
      <c r="O50" s="3251"/>
    </row>
    <row r="51" spans="1:35" ht="12" customHeight="1">
      <c r="A51" s="181"/>
      <c r="B51" s="3299" t="s">
        <v>2198</v>
      </c>
      <c r="C51" s="3299"/>
      <c r="D51" s="182"/>
      <c r="E51" s="30"/>
      <c r="F51" s="180"/>
      <c r="G51" s="3282"/>
      <c r="H51" s="138"/>
      <c r="I51" s="2480"/>
      <c r="J51" s="2481" t="s">
        <v>2199</v>
      </c>
      <c r="K51" s="3251" t="s">
        <v>2200</v>
      </c>
      <c r="L51" s="3251"/>
      <c r="M51" s="2481" t="s">
        <v>2201</v>
      </c>
      <c r="N51" s="2481" t="s">
        <v>2202</v>
      </c>
      <c r="O51" s="2481" t="s">
        <v>2203</v>
      </c>
    </row>
    <row r="52" spans="1:35" ht="24" customHeight="1">
      <c r="A52" s="183" t="s">
        <v>2204</v>
      </c>
      <c r="B52" s="3299" t="s">
        <v>2205</v>
      </c>
      <c r="C52" s="3299"/>
      <c r="D52" s="182">
        <f ca="1">ROUND(D45*'数据-取费表'!B41/(1+'数据-取费表'!C42),0)</f>
        <v>4367</v>
      </c>
      <c r="E52" s="11" t="s">
        <v>2206</v>
      </c>
      <c r="F52" s="184">
        <f>'数据-取费表'!B41</f>
        <v>5.6000000000000001E-2</v>
      </c>
      <c r="G52" s="2482"/>
      <c r="H52" s="138"/>
      <c r="I52" s="2480"/>
      <c r="J52" s="1809">
        <v>1</v>
      </c>
      <c r="K52" s="3274" t="s">
        <v>2207</v>
      </c>
      <c r="L52" s="3274"/>
      <c r="M52" s="1751">
        <f>D48</f>
        <v>0</v>
      </c>
      <c r="N52" s="1809" t="str">
        <f>E48</f>
        <v>销售额×税（费）率</v>
      </c>
      <c r="O52" s="1752" t="str">
        <f>F48</f>
        <v>免征</v>
      </c>
    </row>
    <row r="53" spans="1:35" ht="12" customHeight="1">
      <c r="A53" s="183" t="s">
        <v>2208</v>
      </c>
      <c r="B53" s="3300" t="s">
        <v>2209</v>
      </c>
      <c r="C53" s="3301"/>
      <c r="D53" s="182">
        <f ca="1">ROUND(D45*'数据-取费表'!B41/(1+'数据-取费表'!C42),0)</f>
        <v>4367</v>
      </c>
      <c r="E53" s="11" t="s">
        <v>2206</v>
      </c>
      <c r="F53" s="184">
        <f>'数据-取费表'!B41</f>
        <v>5.6000000000000001E-2</v>
      </c>
      <c r="G53" s="2482"/>
      <c r="H53" s="138"/>
      <c r="I53" s="2480"/>
      <c r="J53" s="1809">
        <v>2</v>
      </c>
      <c r="K53" s="3274" t="s">
        <v>2210</v>
      </c>
      <c r="L53" s="3274"/>
      <c r="M53" s="1751">
        <f t="shared" ref="M53:O54" ca="1" si="0">D55</f>
        <v>41</v>
      </c>
      <c r="N53" s="1809" t="str">
        <f t="shared" si="0"/>
        <v>销售额×税（费）率</v>
      </c>
      <c r="O53" s="1752">
        <f t="shared" si="0"/>
        <v>5.0000000000000001E-4</v>
      </c>
    </row>
    <row r="54" spans="1:35" ht="12" customHeight="1">
      <c r="A54" s="183" t="s">
        <v>2211</v>
      </c>
      <c r="B54" s="3300" t="s">
        <v>2212</v>
      </c>
      <c r="C54" s="3301"/>
      <c r="D54" s="182">
        <f ca="1">C68</f>
        <v>4367</v>
      </c>
      <c r="E54" s="30" t="s">
        <v>2213</v>
      </c>
      <c r="F54" s="184">
        <f>'数据-取费表'!B41</f>
        <v>5.6000000000000001E-2</v>
      </c>
      <c r="G54" s="2482"/>
      <c r="H54" s="2483"/>
      <c r="I54" s="2480"/>
      <c r="J54" s="1809">
        <v>3</v>
      </c>
      <c r="K54" s="3274" t="s">
        <v>2214</v>
      </c>
      <c r="L54" s="3274"/>
      <c r="M54" s="1751">
        <f t="shared" ca="1" si="0"/>
        <v>46341</v>
      </c>
      <c r="N54" s="1809" t="str">
        <f t="shared" si="0"/>
        <v>增值额×税（费）率</v>
      </c>
      <c r="O54" s="1753" t="str">
        <f t="shared" si="0"/>
        <v>——</v>
      </c>
    </row>
    <row r="55" spans="1:35" ht="24" customHeight="1">
      <c r="A55" s="3338" t="s">
        <v>2215</v>
      </c>
      <c r="B55" s="3320"/>
      <c r="C55" s="3320"/>
      <c r="D55" s="185">
        <f ca="1">IF(H55="个人住宅",0,ROUND(D45*I55,0))</f>
        <v>41</v>
      </c>
      <c r="E55" s="11" t="s">
        <v>2216</v>
      </c>
      <c r="F55" s="184">
        <f>IF(H55="正常",I55,"免征")</f>
        <v>5.0000000000000001E-4</v>
      </c>
      <c r="G55" s="2482"/>
      <c r="H55" s="2479" t="s">
        <v>2217</v>
      </c>
      <c r="I55" s="186">
        <f>'数据-取费表'!B49</f>
        <v>5.0000000000000001E-4</v>
      </c>
      <c r="J55" s="1809" t="str">
        <f>IF(H59="非个人房产","",4)</f>
        <v/>
      </c>
      <c r="K55" s="3274" t="str">
        <f>IF(H59="非个人房产","——","个人所得税")</f>
        <v>——</v>
      </c>
      <c r="L55" s="3274"/>
      <c r="M55" s="1754" t="str">
        <f>D59</f>
        <v>——</v>
      </c>
      <c r="N55" s="1807" t="str">
        <f>E59</f>
        <v>——</v>
      </c>
      <c r="O55" s="1755" t="str">
        <f>F59</f>
        <v>——</v>
      </c>
    </row>
    <row r="56" spans="1:35" ht="24.75">
      <c r="A56" s="3338" t="s">
        <v>2218</v>
      </c>
      <c r="B56" s="3320"/>
      <c r="C56" s="3320"/>
      <c r="D56" s="185">
        <f ca="1">IF(H56="个人住宅",D57,D58)</f>
        <v>46341</v>
      </c>
      <c r="E56" s="11" t="s">
        <v>2219</v>
      </c>
      <c r="F56" s="184" t="str">
        <f>IF(H56="正常",F58,"免征")</f>
        <v>——</v>
      </c>
      <c r="G56" s="2484" t="s">
        <v>2220</v>
      </c>
      <c r="H56" s="2485" t="s">
        <v>2217</v>
      </c>
      <c r="I56" s="2486"/>
      <c r="J56" s="1809" t="str">
        <f>IF(项目基本情况!K6="上海银行",IF(J55="",4,J55+1),"")</f>
        <v/>
      </c>
      <c r="K56" s="3257" t="str">
        <f>IF(项目基本情况!K6="上海银行","其他处置费用","")</f>
        <v/>
      </c>
      <c r="L56" s="3258"/>
      <c r="M56" s="1751" t="str">
        <f>IF(项目基本情况!K6="上海银行",M69,"")</f>
        <v/>
      </c>
      <c r="N56" s="3260" t="str">
        <f>IF(项目基本情况!K6="上海银行","包含处置中涉及的律师、诉讼、拍卖、评估等费用","")</f>
        <v/>
      </c>
      <c r="O56" s="3261"/>
    </row>
    <row r="57" spans="1:35" ht="12.75">
      <c r="A57" s="183" t="s">
        <v>2193</v>
      </c>
      <c r="B57" s="3305" t="s">
        <v>2221</v>
      </c>
      <c r="C57" s="3306"/>
      <c r="D57" s="187">
        <v>0</v>
      </c>
      <c r="E57" s="23" t="s">
        <v>2195</v>
      </c>
      <c r="F57" s="155"/>
      <c r="G57" s="2482"/>
      <c r="H57" s="2486"/>
      <c r="I57" s="2486"/>
      <c r="J57" s="3274">
        <f>IF(AND(J55="",J56=""),4,IF(项目基本情况!K6="上海银行",结果表!J56+1,结果表!J55+1))</f>
        <v>4</v>
      </c>
      <c r="K57" s="3274" t="s">
        <v>2222</v>
      </c>
      <c r="L57" s="2487" t="s">
        <v>2223</v>
      </c>
      <c r="M57" s="1756"/>
      <c r="N57" s="1757">
        <f ca="1">SUMIF(M52:M56,"&lt;9e307")</f>
        <v>46382</v>
      </c>
      <c r="O57" s="2488"/>
      <c r="P57" s="1750">
        <f ca="1">N57/M49</f>
        <v>0.56649770992366411</v>
      </c>
    </row>
    <row r="58" spans="1:35" ht="24.75">
      <c r="A58" s="183" t="s">
        <v>2204</v>
      </c>
      <c r="B58" s="3305" t="s">
        <v>2224</v>
      </c>
      <c r="C58" s="3318"/>
      <c r="D58" s="185">
        <f ca="1">IF(H58="转让取得",C81,C97)</f>
        <v>46341</v>
      </c>
      <c r="E58" s="11" t="s">
        <v>2219</v>
      </c>
      <c r="F58" s="24" t="s">
        <v>34</v>
      </c>
      <c r="G58" s="2482"/>
      <c r="H58" s="2485" t="s">
        <v>2225</v>
      </c>
      <c r="I58" s="2486"/>
      <c r="J58" s="3274"/>
      <c r="K58" s="3274"/>
      <c r="L58" s="2487" t="s">
        <v>2226</v>
      </c>
      <c r="M58" s="1758"/>
      <c r="N58" s="2489" t="str">
        <f ca="1">NUMBERSTRING(INT(N57*10000),2)&amp;"元整"</f>
        <v>肆亿陆仟叁佰捌拾贰万元整</v>
      </c>
      <c r="O58" s="2490"/>
    </row>
    <row r="59" spans="1:35" ht="24.75" thickBot="1">
      <c r="A59" s="3278" t="s">
        <v>2227</v>
      </c>
      <c r="B59" s="3279"/>
      <c r="C59" s="3279"/>
      <c r="D59" s="188" t="str">
        <f>IF(H59="非个人房产","——",IF(H59="个人住宅",0,ROUND(D45*I59,0)))</f>
        <v>——</v>
      </c>
      <c r="E59" s="189" t="str">
        <f>IF(H59="非个人房产","——","销售额×税（费）率")</f>
        <v>——</v>
      </c>
      <c r="F59" s="190" t="str">
        <f>IF(H59="非个人房产","——",IF(H59="个人住宅","免征",I59))</f>
        <v>——</v>
      </c>
      <c r="G59" s="2491" t="s">
        <v>2220</v>
      </c>
      <c r="H59" s="2485" t="s">
        <v>2228</v>
      </c>
      <c r="I59" s="191">
        <v>0.01</v>
      </c>
      <c r="J59" s="3276">
        <f>J57+1</f>
        <v>5</v>
      </c>
      <c r="K59" s="3274" t="s">
        <v>2229</v>
      </c>
      <c r="L59" s="1809" t="s">
        <v>2223</v>
      </c>
      <c r="M59" s="1759"/>
      <c r="N59" s="1760">
        <f ca="1">M49-N57</f>
        <v>35493</v>
      </c>
      <c r="O59" s="2492"/>
    </row>
    <row r="60" spans="1:35" ht="12" customHeight="1">
      <c r="A60" s="2493"/>
      <c r="B60" s="2415"/>
      <c r="C60" s="2415"/>
      <c r="D60" s="2415"/>
      <c r="E60" s="2163"/>
      <c r="F60" s="2486"/>
      <c r="G60" s="2486"/>
      <c r="H60" s="2494"/>
      <c r="I60" s="138"/>
      <c r="J60" s="3277"/>
      <c r="K60" s="3274"/>
      <c r="L60" s="2487" t="s">
        <v>2226</v>
      </c>
      <c r="M60" s="1758"/>
      <c r="N60" s="2489" t="str">
        <f ca="1">NUMBERSTRING(INT(N59*10000),2)&amp;"元整"</f>
        <v>叁亿伍仟肆佰玖拾叁万元整</v>
      </c>
      <c r="O60" s="2490"/>
    </row>
    <row r="61" spans="1:35" ht="13.5" thickBot="1">
      <c r="A61" s="3337" t="s">
        <v>2230</v>
      </c>
      <c r="B61" s="3337"/>
      <c r="C61" s="3337"/>
      <c r="D61" s="3337"/>
      <c r="E61" s="3337"/>
      <c r="F61" s="2486"/>
      <c r="G61" s="2486"/>
      <c r="H61" s="2494"/>
      <c r="I61" s="138"/>
      <c r="J61" s="1809">
        <f>J59+1</f>
        <v>6</v>
      </c>
      <c r="K61" s="3274" t="s">
        <v>2231</v>
      </c>
      <c r="L61" s="3274"/>
      <c r="M61" s="1761"/>
      <c r="N61" s="1762">
        <f ca="1">ROUND(N59*10000/'数据-汇总表'!E3,0)</f>
        <v>1839</v>
      </c>
      <c r="O61" s="2495"/>
    </row>
    <row r="62" spans="1:35" ht="12.75">
      <c r="A62" s="3294" t="s">
        <v>2232</v>
      </c>
      <c r="B62" s="3295"/>
      <c r="C62" s="1801"/>
      <c r="D62" s="1801" t="s">
        <v>2233</v>
      </c>
      <c r="E62" s="192" t="s">
        <v>2234</v>
      </c>
      <c r="F62" s="2486"/>
      <c r="G62" s="2486"/>
      <c r="H62" s="2494"/>
      <c r="I62" s="138"/>
    </row>
    <row r="63" spans="1:35" ht="12.75">
      <c r="A63" s="203" t="s">
        <v>775</v>
      </c>
      <c r="B63" s="193" t="s">
        <v>2235</v>
      </c>
      <c r="C63" s="194">
        <f ca="1">ROUND((C64+C65)/(1+'数据-取费表'!C42),0)</f>
        <v>77976</v>
      </c>
      <c r="D63" s="195"/>
      <c r="E63" s="196"/>
      <c r="F63" s="2486"/>
      <c r="G63" s="2486"/>
      <c r="H63" s="2494"/>
      <c r="I63" s="138"/>
      <c r="J63" s="3259" t="s">
        <v>2236</v>
      </c>
      <c r="K63" s="2496" t="s">
        <v>2237</v>
      </c>
      <c r="L63" s="1749">
        <f ca="1">IF(M49&gt;10000,M49*0.5%,IF(AND(M49&gt;1000,M49&lt;=10000),M49*1%,IF(AND(M49&gt;100,M49&lt;=1000),M49*3%,IF(AND(M49&gt;10,M49&lt;=100),M49*5%,M49*8%))))</f>
        <v>409.375</v>
      </c>
      <c r="M63" s="24">
        <f ca="1">ROUND(L63,1)</f>
        <v>409.4</v>
      </c>
      <c r="Z63" s="2420"/>
      <c r="AI63" s="2421"/>
    </row>
    <row r="64" spans="1:35" ht="14.25" customHeight="1">
      <c r="A64" s="197" t="s">
        <v>770</v>
      </c>
      <c r="B64" s="198" t="s">
        <v>2238</v>
      </c>
      <c r="C64" s="199">
        <f ca="1">D45</f>
        <v>81875</v>
      </c>
      <c r="D64" s="200" t="s">
        <v>32</v>
      </c>
      <c r="E64" s="201"/>
      <c r="F64" s="2486"/>
      <c r="G64" s="2486"/>
      <c r="H64" s="2494"/>
      <c r="I64" s="138"/>
      <c r="J64" s="3259"/>
      <c r="K64" s="2496" t="s">
        <v>2239</v>
      </c>
      <c r="L64" s="1749">
        <f ca="1">IF(M49&gt;2000,M49*0.5%,IF(AND(M49&gt;1000,M49&lt;=2000),M49*0.6%,IF(AND(M49&gt;500,M49&lt;=1000),M49*0.7%,IF(AND(M49&gt;200,M49&lt;=500),M49*0.8%,IF(AND(M49&gt;100,M49&lt;=200),M49*0.9%,IF(AND(M49&gt;50,M49&lt;=100),M49*1%,IF(AND(M49&gt;20,M49&lt;=50),M49*1.5%,IF(AND(M49&gt;10,M49&lt;=20),M49*2%,IF(AND(M49&gt;1,M49&lt;=10),M49*2.5%)))))))))</f>
        <v>409.375</v>
      </c>
      <c r="M64" s="24">
        <f t="shared" ref="M64:M65" ca="1" si="1">ROUND(L64,1)</f>
        <v>409.4</v>
      </c>
      <c r="N64" s="138" t="s">
        <v>2240</v>
      </c>
      <c r="Z64" s="2420"/>
      <c r="AI64" s="2421"/>
    </row>
    <row r="65" spans="1:35" ht="14.25" customHeight="1">
      <c r="A65" s="197" t="s">
        <v>771</v>
      </c>
      <c r="B65" s="198" t="s">
        <v>2241</v>
      </c>
      <c r="C65" s="202"/>
      <c r="D65" s="200"/>
      <c r="E65" s="201"/>
      <c r="F65" s="2486"/>
      <c r="G65" s="2486"/>
      <c r="H65" s="2494"/>
      <c r="I65" s="138"/>
      <c r="J65" s="3259"/>
      <c r="K65" s="2496" t="s">
        <v>2242</v>
      </c>
      <c r="L65" s="1749">
        <f ca="1">IF(M49&gt;1000,M49*0.1%,IF(AND(M49&gt;500,M49&lt;=1000),M49*0.5%,IF(AND(M49&gt;50,M49&lt;=500),M49*1%,IF(AND(M49&gt;1,M49&lt;=50),M49*1.5%))))</f>
        <v>81.875</v>
      </c>
      <c r="M65" s="24">
        <f t="shared" ca="1" si="1"/>
        <v>81.900000000000006</v>
      </c>
      <c r="N65" s="138" t="s">
        <v>2240</v>
      </c>
      <c r="Z65" s="2420"/>
      <c r="AI65" s="2421"/>
    </row>
    <row r="66" spans="1:35" ht="14.25" customHeight="1">
      <c r="A66" s="203" t="s">
        <v>772</v>
      </c>
      <c r="B66" s="204" t="s">
        <v>2243</v>
      </c>
      <c r="C66" s="205"/>
      <c r="D66" s="206" t="s">
        <v>32</v>
      </c>
      <c r="E66" s="1773" t="s">
        <v>1367</v>
      </c>
      <c r="F66" s="2486"/>
      <c r="G66" s="2486"/>
      <c r="H66" s="2494"/>
      <c r="I66" s="138"/>
      <c r="J66" s="3259"/>
      <c r="K66" s="2496" t="s">
        <v>2244</v>
      </c>
      <c r="L66" s="1749">
        <f ca="1">M49*0.5%</f>
        <v>409.375</v>
      </c>
      <c r="M66" s="24">
        <f ca="1">IF(L66&gt;0.5,0.5,ROUND(L66,0))</f>
        <v>0.5</v>
      </c>
      <c r="N66" s="138" t="s">
        <v>2245</v>
      </c>
      <c r="Z66" s="2420"/>
      <c r="AI66" s="2421"/>
    </row>
    <row r="67" spans="1:35" ht="14.25" customHeight="1">
      <c r="A67" s="203" t="s">
        <v>773</v>
      </c>
      <c r="B67" s="204" t="s">
        <v>2246</v>
      </c>
      <c r="C67" s="207">
        <f ca="1">C63-C66</f>
        <v>77976</v>
      </c>
      <c r="D67" s="200" t="s">
        <v>32</v>
      </c>
      <c r="E67" s="201"/>
      <c r="F67" s="2486"/>
      <c r="G67" s="2486"/>
      <c r="H67" s="2494"/>
      <c r="I67" s="138"/>
      <c r="J67" s="3259"/>
      <c r="K67" s="2496" t="s">
        <v>2247</v>
      </c>
      <c r="L67" s="1749">
        <f ca="1">IF(M49&gt;=10000,(8.25+(M49-10000)*0.01%),IF(AND(M49&gt;=8000,M49&lt;10000),(7.85+(M49-8000)*0.02%),IF(AND(M49&gt;=5000,M49&lt;8000),(6.65+(M49-5000)*0.04%),IF(AND(M49&gt;=2000,M49&lt;5000),(4.25+(PM49-2000)*0.08%),IF(AND(M49&gt;=1000,M49&lt;2000),(2.75+(M49-1000)*0.15%),IF(AND(M49&gt;=100,M49&lt;1000),(0.5+(M49-100)*0.25%),IF(AND(M49&gt;0,M49&lt;100),M49*0.5%)))))))</f>
        <v>15.4375</v>
      </c>
      <c r="M67" s="24">
        <f ca="1">ROUND(L67*0.9,1)</f>
        <v>13.9</v>
      </c>
      <c r="Z67" s="2420"/>
      <c r="AI67" s="2421"/>
    </row>
    <row r="68" spans="1:35" ht="14.25" customHeight="1" thickBot="1">
      <c r="A68" s="208" t="s">
        <v>774</v>
      </c>
      <c r="B68" s="209" t="s">
        <v>2248</v>
      </c>
      <c r="C68" s="210">
        <f ca="1">IF(C67&lt;=0,0,ROUND(C67*D68,0))</f>
        <v>4367</v>
      </c>
      <c r="D68" s="211">
        <f>'数据-取费表'!B41</f>
        <v>5.6000000000000001E-2</v>
      </c>
      <c r="E68" s="212"/>
      <c r="F68" s="2486"/>
      <c r="G68" s="2486"/>
      <c r="H68" s="2494"/>
      <c r="I68" s="138"/>
      <c r="J68" s="3259"/>
      <c r="K68" s="2496" t="s">
        <v>2249</v>
      </c>
      <c r="L68" s="1749">
        <f ca="1">IF(M49&gt;10000,M49*0.5%,IF(AND(M49&gt;5000,M49&lt;=10000),M49*1%,IF(AND(M49&gt;1000,M49&lt;=5000),M49*2%,IF(AND(M49&gt;200,M49&lt;=1000),M49*3%,M49*5%))))</f>
        <v>409.375</v>
      </c>
      <c r="M68" s="24">
        <f ca="1">ROUND(L68,1)</f>
        <v>409.4</v>
      </c>
      <c r="Z68" s="2420"/>
      <c r="AI68" s="2421"/>
    </row>
    <row r="69" spans="1:35" s="2443" customFormat="1" ht="16.5" customHeight="1">
      <c r="A69" s="2497"/>
      <c r="B69" s="2498"/>
      <c r="C69" s="2499"/>
      <c r="D69" s="2500"/>
      <c r="E69" s="2501"/>
      <c r="F69" s="2163"/>
      <c r="G69" s="2163"/>
      <c r="H69" s="2162"/>
      <c r="I69" s="2415"/>
      <c r="J69" s="3259"/>
      <c r="K69" s="2496" t="s">
        <v>2250</v>
      </c>
      <c r="L69" s="2502"/>
      <c r="M69" s="24">
        <f ca="1">ROUND(SUM(M63:M68),0)</f>
        <v>1325</v>
      </c>
      <c r="N69" s="1750">
        <f ca="1">M69/M49</f>
        <v>1.618320610687023E-2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303" t="s">
        <v>2251</v>
      </c>
      <c r="B70" s="3304"/>
      <c r="C70" s="3304"/>
      <c r="D70" s="3304"/>
      <c r="E70" s="3304"/>
      <c r="F70" s="3304"/>
      <c r="G70" s="3304"/>
      <c r="H70" s="3304"/>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294" t="s">
        <v>2232</v>
      </c>
      <c r="B71" s="3295"/>
      <c r="C71" s="1801"/>
      <c r="D71" s="1801" t="s">
        <v>2233</v>
      </c>
      <c r="E71" s="213" t="s">
        <v>2234</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2252</v>
      </c>
      <c r="C72" s="207">
        <f ca="1">ROUND(D45/(1+'数据-取费表'!C42),0)</f>
        <v>77976</v>
      </c>
      <c r="D72" s="200" t="s">
        <v>32</v>
      </c>
      <c r="E72" s="1800"/>
      <c r="F72" s="1794"/>
      <c r="G72" s="1794"/>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2253</v>
      </c>
      <c r="C73" s="207">
        <f ca="1">C74+C78</f>
        <v>468</v>
      </c>
      <c r="D73" s="200" t="s">
        <v>32</v>
      </c>
      <c r="E73" s="1800"/>
      <c r="F73" s="1794"/>
      <c r="G73" s="1794"/>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2254</v>
      </c>
      <c r="C74" s="200">
        <f>ROUND(IF(G77="2016年5月1日后购买",C75/(1+'数据-取费表'!C42)+C76+C77,C75+C76+C77),0)</f>
        <v>0</v>
      </c>
      <c r="D74" s="200" t="s">
        <v>32</v>
      </c>
      <c r="E74" s="1800"/>
      <c r="F74" s="1794"/>
      <c r="G74" s="1794"/>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2255</v>
      </c>
      <c r="C75" s="218"/>
      <c r="D75" s="200" t="s">
        <v>32</v>
      </c>
      <c r="E75" s="219" t="s">
        <v>2256</v>
      </c>
      <c r="F75" s="2508" t="s">
        <v>2257</v>
      </c>
      <c r="G75" s="219" t="s">
        <v>2258</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2259</v>
      </c>
      <c r="C76" s="200">
        <f>IF(F75="购房发票",ROUND(C75*H75*D76,0),0)</f>
        <v>0</v>
      </c>
      <c r="D76" s="222">
        <v>0.05</v>
      </c>
      <c r="E76" s="3300" t="s">
        <v>2260</v>
      </c>
      <c r="F76" s="3299"/>
      <c r="G76" s="3299"/>
      <c r="H76" s="3302"/>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2261</v>
      </c>
      <c r="C77" s="200">
        <f>ROUND(IF(G77="个人住宅",0,IF(G77="2016年5月1日前购买",C75*D77,C75*D77/(1+'数据-取费表'!C42))),0)</f>
        <v>0</v>
      </c>
      <c r="D77" s="223">
        <f>'数据-取费表'!B48+'数据-取费表'!B49</f>
        <v>3.0499999999999999E-2</v>
      </c>
      <c r="E77" s="15" t="s">
        <v>2262</v>
      </c>
      <c r="F77" s="224"/>
      <c r="G77" s="2510" t="s">
        <v>2263</v>
      </c>
      <c r="H77" s="1805"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2264</v>
      </c>
      <c r="C78" s="225">
        <f ca="1">ROUND(D45*D78/(1+'数据-取费表'!C42),0)</f>
        <v>468</v>
      </c>
      <c r="D78" s="226">
        <f>'数据-取费表'!B43</f>
        <v>6.000000000000001E-3</v>
      </c>
      <c r="E78" s="3291" t="s">
        <v>2265</v>
      </c>
      <c r="F78" s="3292"/>
      <c r="G78" s="3292"/>
      <c r="H78" s="3293"/>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2266</v>
      </c>
      <c r="C79" s="207">
        <f ca="1">C72-C73</f>
        <v>77508</v>
      </c>
      <c r="D79" s="200" t="s">
        <v>32</v>
      </c>
      <c r="E79" s="1800"/>
      <c r="F79" s="1794"/>
      <c r="G79" s="1794"/>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2267</v>
      </c>
      <c r="C80" s="227">
        <f ca="1">IF(C79&lt;=0,0,C79/C73)</f>
        <v>165.61538461538461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2268</v>
      </c>
      <c r="C81" s="228">
        <f ca="1">ROUND(IF(C79&lt;=0,0,IF(C80&gt;=200%,C79*60%-C73*35%,IF(C80&gt;=100%,C79*50%-C73*15%,IF(C80&gt;=50%,C79*40%-C73*5%,IF(C80&lt;50%,C79*30%,0))))),0)</f>
        <v>46341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303" t="s">
        <v>2269</v>
      </c>
      <c r="B83" s="3304"/>
      <c r="C83" s="3304"/>
      <c r="D83" s="3304"/>
      <c r="E83" s="3304"/>
      <c r="F83" s="3304"/>
      <c r="G83" s="3304"/>
      <c r="H83" s="3304"/>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294" t="s">
        <v>2232</v>
      </c>
      <c r="B84" s="3295"/>
      <c r="C84" s="1801"/>
      <c r="D84" s="1801" t="s">
        <v>2233</v>
      </c>
      <c r="E84" s="213" t="s">
        <v>2234</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2252</v>
      </c>
      <c r="C85" s="207">
        <f ca="1">ROUND(D45/(1+'数据-取费表'!C42),0)</f>
        <v>77976</v>
      </c>
      <c r="D85" s="200" t="s">
        <v>32</v>
      </c>
      <c r="E85" s="1800"/>
      <c r="F85" s="1794"/>
      <c r="G85" s="1794"/>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2253</v>
      </c>
      <c r="C86" s="207">
        <f ca="1">IF(H88="仅含出让金",C87+C90+C91+C92+C93+C94,C87+C91+C92+C93+C94)</f>
        <v>468</v>
      </c>
      <c r="D86" s="235"/>
      <c r="E86" s="1800"/>
      <c r="F86" s="1794"/>
      <c r="G86" s="1794"/>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2270</v>
      </c>
      <c r="C87" s="225">
        <f>C88+C89</f>
        <v>0</v>
      </c>
      <c r="D87" s="226"/>
      <c r="E87" s="1796"/>
      <c r="F87" s="1797"/>
      <c r="G87" s="1797"/>
      <c r="H87" s="1799"/>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2271</v>
      </c>
      <c r="C88" s="236"/>
      <c r="D88" s="226"/>
      <c r="E88" s="237" t="s">
        <v>2272</v>
      </c>
      <c r="F88" s="1797"/>
      <c r="G88" s="238" t="s">
        <v>2273</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2261</v>
      </c>
      <c r="C89" s="225">
        <f>ROUND(C88*D89,0)</f>
        <v>0</v>
      </c>
      <c r="D89" s="226">
        <f>'数据-取费表'!B48+'数据-取费表'!B49</f>
        <v>3.0499999999999999E-2</v>
      </c>
      <c r="E89" s="237" t="s">
        <v>2274</v>
      </c>
      <c r="F89" s="1797"/>
      <c r="G89" s="1797"/>
      <c r="H89" s="1799"/>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2275</v>
      </c>
      <c r="C90" s="236"/>
      <c r="D90" s="226"/>
      <c r="E90" s="237" t="str">
        <f>IF(H88="-","土地取得成本中已包含该笔费用"," ")</f>
        <v xml:space="preserve"> </v>
      </c>
      <c r="F90" s="1797"/>
      <c r="G90" s="1797"/>
      <c r="H90" s="1799"/>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2276</v>
      </c>
      <c r="B91" s="198" t="s">
        <v>2277</v>
      </c>
      <c r="C91" s="225">
        <f>IF(H91="——",成本法!C33,I91)</f>
        <v>0</v>
      </c>
      <c r="D91" s="226"/>
      <c r="E91" s="3291" t="s">
        <v>2278</v>
      </c>
      <c r="F91" s="3292"/>
      <c r="G91" s="3292"/>
      <c r="H91" s="2515" t="s">
        <v>2279</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2280</v>
      </c>
      <c r="B92" s="198" t="s">
        <v>2281</v>
      </c>
      <c r="C92" s="225">
        <f>ROUND((C87+C90+C91)*D92,0)</f>
        <v>0</v>
      </c>
      <c r="D92" s="226">
        <v>0.1</v>
      </c>
      <c r="E92" s="3291" t="s">
        <v>2282</v>
      </c>
      <c r="F92" s="3292"/>
      <c r="G92" s="3292"/>
      <c r="H92" s="3293"/>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2283</v>
      </c>
      <c r="B93" s="198" t="s">
        <v>2264</v>
      </c>
      <c r="C93" s="225">
        <f ca="1">ROUND(D45*D93/(1+'数据-取费表'!C42),0)</f>
        <v>468</v>
      </c>
      <c r="D93" s="226">
        <f>'数据-取费表'!B43</f>
        <v>6.000000000000001E-3</v>
      </c>
      <c r="E93" s="3291" t="s">
        <v>2265</v>
      </c>
      <c r="F93" s="3292"/>
      <c r="G93" s="3292"/>
      <c r="H93" s="3293"/>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2284</v>
      </c>
      <c r="B94" s="198" t="s">
        <v>2285</v>
      </c>
      <c r="C94" s="236">
        <f>ROUND((C87+C90+C91)*D94,0)</f>
        <v>0</v>
      </c>
      <c r="D94" s="226">
        <v>0.2</v>
      </c>
      <c r="E94" s="3339" t="s">
        <v>2286</v>
      </c>
      <c r="F94" s="3340"/>
      <c r="G94" s="3340"/>
      <c r="H94" s="3341"/>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2266</v>
      </c>
      <c r="C95" s="207">
        <f ca="1">ROUND(C85-C86,0)</f>
        <v>77508</v>
      </c>
      <c r="D95" s="200" t="s">
        <v>32</v>
      </c>
      <c r="E95" s="1800"/>
      <c r="F95" s="1794"/>
      <c r="G95" s="1794"/>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2267</v>
      </c>
      <c r="C96" s="227">
        <f ca="1">IF(C95&lt;=0,0,C95/C86)</f>
        <v>165.61538461538461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2268</v>
      </c>
      <c r="C97" s="228">
        <f ca="1">ROUND(IF(C95&lt;=0,0,IF(C96&gt;=200%,C95*60%-C86*35%,IF(C96&gt;=100%,C95*50%-C86*15%,IF(C96&gt;=50%,C95*40%-C86*5%,IF(C96&lt;50%,C95*30%,0))))),0)</f>
        <v>46341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3"/>
      <c r="F98" s="2163"/>
      <c r="G98" s="2163"/>
      <c r="H98" s="2162"/>
      <c r="I98" s="138"/>
    </row>
    <row r="99" spans="1:35" ht="21.75" customHeight="1" thickBot="1">
      <c r="A99" s="2471" t="s">
        <v>2287</v>
      </c>
      <c r="B99" s="2415"/>
      <c r="C99" s="2415"/>
      <c r="D99" s="2415"/>
      <c r="E99" s="2163"/>
      <c r="F99" s="2163"/>
      <c r="G99" s="2163"/>
      <c r="H99" s="2162"/>
      <c r="I99" s="138"/>
    </row>
    <row r="100" spans="1:35" ht="18.75" customHeight="1">
      <c r="A100" s="3243" t="s">
        <v>2288</v>
      </c>
      <c r="B100" s="3244"/>
      <c r="C100" s="3244"/>
      <c r="D100" s="3275"/>
      <c r="E100" s="3244" t="s">
        <v>2289</v>
      </c>
      <c r="F100" s="3244"/>
      <c r="G100" s="3244"/>
      <c r="H100" s="3275"/>
      <c r="I100" s="138"/>
    </row>
    <row r="101" spans="1:35" ht="18.75" customHeight="1">
      <c r="A101" s="3283" t="s">
        <v>2290</v>
      </c>
      <c r="B101" s="3284"/>
      <c r="C101" s="736" t="str">
        <f>C4</f>
        <v>成本法</v>
      </c>
      <c r="D101" s="737" t="str">
        <f>D4</f>
        <v>收益法</v>
      </c>
      <c r="E101" s="3255" t="s">
        <v>2291</v>
      </c>
      <c r="F101" s="3256"/>
      <c r="G101" s="2517" t="s">
        <v>2292</v>
      </c>
      <c r="H101" s="1045">
        <f ca="1">H118</f>
        <v>81875</v>
      </c>
      <c r="I101" s="138"/>
    </row>
    <row r="102" spans="1:35" ht="18.75" customHeight="1">
      <c r="A102" s="3285" t="s">
        <v>2293</v>
      </c>
      <c r="B102" s="2517" t="s">
        <v>2292</v>
      </c>
      <c r="C102" s="736">
        <f ca="1">C19</f>
        <v>101560</v>
      </c>
      <c r="D102" s="737">
        <f ca="1">D19</f>
        <v>68752</v>
      </c>
      <c r="E102" s="3255"/>
      <c r="F102" s="3256"/>
      <c r="G102" s="2517" t="s">
        <v>2294</v>
      </c>
      <c r="H102" s="371">
        <f ca="1">I118</f>
        <v>4241</v>
      </c>
      <c r="I102" s="138"/>
    </row>
    <row r="103" spans="1:35" ht="42.75" customHeight="1">
      <c r="A103" s="3285"/>
      <c r="B103" s="2517" t="s">
        <v>2294</v>
      </c>
      <c r="C103" s="738">
        <f ca="1">C20</f>
        <v>5261</v>
      </c>
      <c r="D103" s="739">
        <f ca="1">D20</f>
        <v>3569</v>
      </c>
      <c r="E103" s="3249" t="s">
        <v>2295</v>
      </c>
      <c r="F103" s="3250"/>
      <c r="G103" s="2518" t="s">
        <v>2296</v>
      </c>
      <c r="H103" s="1045">
        <f>IF(D36="正常操作",H104+H105+H106,H105+H106)</f>
        <v>0</v>
      </c>
      <c r="I103" s="138"/>
    </row>
    <row r="104" spans="1:35" ht="18.75" customHeight="1">
      <c r="A104" s="3285" t="s">
        <v>2297</v>
      </c>
      <c r="B104" s="2519" t="s">
        <v>2292</v>
      </c>
      <c r="C104" s="740">
        <f ca="1">H118</f>
        <v>81875</v>
      </c>
      <c r="D104" s="741"/>
      <c r="E104" s="2263" t="s">
        <v>2298</v>
      </c>
      <c r="F104" s="2255"/>
      <c r="G104" s="2518" t="s">
        <v>2296</v>
      </c>
      <c r="H104" s="1046">
        <f>IF(D36="同一抵押权人同一抵押物续贷",C36&amp;"（未扣减，详见特别提示）",C36)</f>
        <v>0</v>
      </c>
      <c r="I104" s="138"/>
    </row>
    <row r="105" spans="1:35" ht="18.75" customHeight="1" thickBot="1">
      <c r="A105" s="3297"/>
      <c r="B105" s="2520" t="s">
        <v>2294</v>
      </c>
      <c r="C105" s="742">
        <f ca="1">I118</f>
        <v>4241</v>
      </c>
      <c r="D105" s="743"/>
      <c r="E105" s="2263" t="s">
        <v>2299</v>
      </c>
      <c r="F105" s="2255"/>
      <c r="G105" s="2518" t="s">
        <v>2296</v>
      </c>
      <c r="H105" s="1046">
        <f>C37</f>
        <v>0</v>
      </c>
      <c r="I105" s="138"/>
    </row>
    <row r="106" spans="1:35" ht="18.75" customHeight="1">
      <c r="A106" s="2415" t="s">
        <v>2300</v>
      </c>
      <c r="B106" s="2415"/>
      <c r="C106" s="2415"/>
      <c r="D106" s="2415"/>
      <c r="E106" s="2521" t="s">
        <v>2301</v>
      </c>
      <c r="F106" s="2255"/>
      <c r="G106" s="2518" t="s">
        <v>2296</v>
      </c>
      <c r="H106" s="1046">
        <f>C38</f>
        <v>0</v>
      </c>
      <c r="I106" s="138"/>
    </row>
    <row r="107" spans="1:35" ht="18.75" customHeight="1">
      <c r="A107" s="138"/>
      <c r="B107" s="138"/>
      <c r="C107" s="138"/>
      <c r="D107" s="138"/>
      <c r="E107" s="3286" t="str">
        <f>IF(项目基本情况!E8="已注销","——","3.房地产抵押价值")</f>
        <v>3.房地产抵押价值</v>
      </c>
      <c r="F107" s="3256"/>
      <c r="G107" s="2517" t="s">
        <v>2292</v>
      </c>
      <c r="H107" s="1045">
        <f ca="1">IF(E107="——","——",H101-H103)</f>
        <v>81875</v>
      </c>
      <c r="I107" s="138"/>
    </row>
    <row r="108" spans="1:35" ht="18.75" customHeight="1">
      <c r="A108" s="138"/>
      <c r="B108" s="138"/>
      <c r="C108" s="138"/>
      <c r="D108" s="138"/>
      <c r="E108" s="3286"/>
      <c r="F108" s="3256"/>
      <c r="G108" s="2517" t="s">
        <v>2294</v>
      </c>
      <c r="H108" s="371">
        <f ca="1">ROUND(H107*10000/'数据-汇总表'!E3,0)</f>
        <v>4241</v>
      </c>
      <c r="I108" s="138"/>
    </row>
    <row r="109" spans="1:35" ht="18.75" customHeight="1">
      <c r="A109" s="138"/>
      <c r="B109" s="138"/>
      <c r="C109" s="138"/>
      <c r="D109" s="138"/>
      <c r="E109" s="3286" t="str">
        <f>IF(项目基本情况!E8="已注销及未注销","4.抵押担保权已注销时的房地产抵押价值",IF(项目基本情况!E8="已注销","3.抵押担保权已注销时的房地产抵押价值","——"))</f>
        <v>4.抵押担保权已注销时的房地产抵押价值</v>
      </c>
      <c r="F109" s="3256"/>
      <c r="G109" s="2517" t="s">
        <v>2292</v>
      </c>
      <c r="H109" s="348">
        <f ca="1">IF(E109="——","——",H101-H105-H106)</f>
        <v>81875</v>
      </c>
      <c r="I109" s="138"/>
    </row>
    <row r="110" spans="1:35" ht="18.75" customHeight="1">
      <c r="A110" s="138"/>
      <c r="B110" s="138"/>
      <c r="C110" s="138"/>
      <c r="D110" s="138"/>
      <c r="E110" s="3286"/>
      <c r="F110" s="3256"/>
      <c r="G110" s="2517" t="s">
        <v>2294</v>
      </c>
      <c r="H110" s="371">
        <f ca="1">IF(H109="——","——",ROUND(H109*10000/'数据-汇总表'!E3,0))</f>
        <v>4241</v>
      </c>
      <c r="I110" s="138"/>
    </row>
    <row r="111" spans="1:35" ht="18.75" customHeight="1">
      <c r="A111" s="138"/>
      <c r="B111" s="138"/>
      <c r="C111" s="138"/>
      <c r="D111" s="138"/>
      <c r="E111" s="3287" t="str">
        <f>IF(项目基本情况!E9="抵押净值",IF(OR(项目基本情况!E8="已注销",项目基本情况!E8="房地产抵押价值"),"4.抵押净值","5.抵押净值"),"——")</f>
        <v>——</v>
      </c>
      <c r="F111" s="3288"/>
      <c r="G111" s="2517" t="s">
        <v>2292</v>
      </c>
      <c r="H111" s="1045" t="str">
        <f>IF(E111="——","——",N59)</f>
        <v>——</v>
      </c>
      <c r="I111" s="138"/>
    </row>
    <row r="112" spans="1:35" ht="18.75" customHeight="1" thickBot="1">
      <c r="A112" s="138"/>
      <c r="B112" s="138"/>
      <c r="C112" s="138"/>
      <c r="D112" s="138"/>
      <c r="E112" s="3289"/>
      <c r="F112" s="3290"/>
      <c r="G112" s="2522" t="s">
        <v>2294</v>
      </c>
      <c r="H112" s="790" t="str">
        <f>IF(E111="——","——",N61)</f>
        <v>——</v>
      </c>
      <c r="I112" s="138"/>
    </row>
    <row r="113" spans="1:11" ht="18.75" customHeight="1">
      <c r="A113" s="138"/>
      <c r="B113" s="138"/>
      <c r="C113" s="138"/>
      <c r="D113" s="138"/>
      <c r="E113" s="3298" t="s">
        <v>2300</v>
      </c>
      <c r="F113" s="3298"/>
      <c r="G113" s="3298"/>
      <c r="H113" s="3298"/>
      <c r="I113" s="138"/>
    </row>
    <row r="114" spans="1:11" ht="3.75" customHeight="1">
      <c r="A114" s="2415"/>
      <c r="B114" s="2415"/>
      <c r="C114" s="2415"/>
      <c r="D114" s="2415"/>
      <c r="E114" s="2493"/>
      <c r="F114" s="2493"/>
      <c r="G114" s="2493"/>
      <c r="H114" s="2493"/>
      <c r="I114" s="2415"/>
    </row>
    <row r="115" spans="1:11" ht="18.75" customHeight="1">
      <c r="A115" s="3311" t="s">
        <v>2302</v>
      </c>
      <c r="B115" s="3312"/>
      <c r="C115" s="3312"/>
      <c r="D115" s="3312"/>
      <c r="E115" s="3312"/>
      <c r="F115" s="3312"/>
      <c r="G115" s="3312"/>
      <c r="H115" s="3312"/>
      <c r="I115" s="3313"/>
    </row>
    <row r="116" spans="1:11" ht="27" customHeight="1">
      <c r="A116" s="3204" t="s">
        <v>2303</v>
      </c>
      <c r="B116" s="3265" t="s">
        <v>7040</v>
      </c>
      <c r="C116" s="3265" t="s">
        <v>7041</v>
      </c>
      <c r="D116" s="3271" t="s">
        <v>2304</v>
      </c>
      <c r="E116" s="3272"/>
      <c r="F116" s="3307" t="s">
        <v>2305</v>
      </c>
      <c r="G116" s="3307"/>
      <c r="H116" s="3204" t="s">
        <v>2306</v>
      </c>
      <c r="I116" s="3204"/>
    </row>
    <row r="117" spans="1:11" ht="18.75" customHeight="1">
      <c r="A117" s="3204"/>
      <c r="B117" s="3266"/>
      <c r="C117" s="3266"/>
      <c r="D117" s="1795" t="s">
        <v>2307</v>
      </c>
      <c r="E117" s="1795" t="s">
        <v>2308</v>
      </c>
      <c r="F117" s="1795" t="s">
        <v>2307</v>
      </c>
      <c r="G117" s="1795" t="s">
        <v>2309</v>
      </c>
      <c r="H117" s="1795" t="s">
        <v>2307</v>
      </c>
      <c r="I117" s="1795" t="s">
        <v>2309</v>
      </c>
    </row>
    <row r="118" spans="1:11" ht="24.75" customHeight="1">
      <c r="A118" s="2523" t="str">
        <f>项目基本情况!S2</f>
        <v>广东省深圳市龙岗区布吉镇沙湾“百门前工业区”工业项目局部房地产</v>
      </c>
      <c r="B118" s="1795">
        <f>M18</f>
        <v>193040.62000000002</v>
      </c>
      <c r="C118" s="1795">
        <f>M19</f>
        <v>95897.74</v>
      </c>
      <c r="D118" s="1795">
        <f ca="1">ROUND(IF(D32="总价",C34,E118*B118/10000),0)</f>
        <v>60915</v>
      </c>
      <c r="E118" s="1795">
        <f ca="1">ROUND(IF(C33="自定义",IF(D32="楼面单价",C34,D118*10000/B118),I118-G118),0)</f>
        <v>3155</v>
      </c>
      <c r="F118" s="1795">
        <f ca="1">ROUND(IF(D32="总价",C35,G118*B118/10000),0)</f>
        <v>20960</v>
      </c>
      <c r="G118" s="1795">
        <f ca="1">ROUND(IF(D32="楼面单价",C35,F118*10000/B118),0)</f>
        <v>1086</v>
      </c>
      <c r="H118" s="1795">
        <f ca="1">ROUND(IF(D32="总价",C32,I118*B118/10000),0)</f>
        <v>81875</v>
      </c>
      <c r="I118" s="1795">
        <f ca="1">ROUND(IF(D32="楼面单价",C32,H118*10000/B118),0)</f>
        <v>4241</v>
      </c>
    </row>
    <row r="119" spans="1:11" ht="18.75" customHeight="1">
      <c r="A119" s="3204" t="s">
        <v>2310</v>
      </c>
      <c r="B119" s="3204"/>
      <c r="C119" s="3204"/>
      <c r="D119" s="3267" t="str">
        <f ca="1">NUMBERSTRING(INT(D118*10000),2)&amp;"元整"</f>
        <v>陆亿零玖佰壹拾伍万元整</v>
      </c>
      <c r="E119" s="3268"/>
      <c r="F119" s="3267" t="str">
        <f ca="1">NUMBERSTRING(INT(F118*10000),2)&amp;"元整"</f>
        <v>贰亿零玖佰陆拾万元整</v>
      </c>
      <c r="G119" s="3268"/>
      <c r="H119" s="3267" t="str">
        <f ca="1">NUMBERSTRING(INT(H118*10000),2)&amp;"元整"</f>
        <v>捌亿壹仟捌佰柒拾伍万元整</v>
      </c>
      <c r="I119" s="3268"/>
    </row>
    <row r="120" spans="1:11" ht="18.75" customHeight="1">
      <c r="A120" s="3262" t="str">
        <f>IF(项目基本情况!B9="房地产市场价值","",MID(E103,3,LEN(E103)-2))</f>
        <v>估价师知悉的法定优先受偿款</v>
      </c>
      <c r="B120" s="3263"/>
      <c r="C120" s="3264"/>
      <c r="D120" s="3262">
        <f>H103</f>
        <v>0</v>
      </c>
      <c r="E120" s="3263"/>
      <c r="F120" s="3263"/>
      <c r="G120" s="3263"/>
      <c r="H120" s="3263"/>
      <c r="I120" s="3264"/>
      <c r="K120" s="2420" t="str">
        <f>IF(D120=0,"故，本次评估不存在"&amp;A120,"故，本次评估"&amp;A120&amp;"为人民币"&amp;D120&amp;"万元整。")</f>
        <v>故，本次评估不存在估价师知悉的法定优先受偿款</v>
      </c>
    </row>
    <row r="121" spans="1:11" ht="18.75" customHeight="1">
      <c r="A121" s="3308" t="s">
        <v>2310</v>
      </c>
      <c r="B121" s="3309"/>
      <c r="C121" s="3310"/>
      <c r="D121" s="3267" t="str">
        <f>IF(D120=0,"零元整",NUMBERSTRING(INT(D120*10000),2)&amp;"元整")</f>
        <v>零元整</v>
      </c>
      <c r="E121" s="3269"/>
      <c r="F121" s="3269"/>
      <c r="G121" s="3269"/>
      <c r="H121" s="3269"/>
      <c r="I121" s="3268"/>
    </row>
    <row r="122" spans="1:11" ht="18.75" customHeight="1">
      <c r="A122" s="3273" t="str">
        <f>IF(项目基本情况!B9="房地产市场价值","",MID(E107,3,LEN(E107)-2))</f>
        <v>房地产抵押价值</v>
      </c>
      <c r="B122" s="3273"/>
      <c r="C122" s="3273"/>
      <c r="D122" s="3262">
        <f ca="1">H107</f>
        <v>81875</v>
      </c>
      <c r="E122" s="3263"/>
      <c r="F122" s="3263"/>
      <c r="G122" s="3263"/>
      <c r="H122" s="3263"/>
      <c r="I122" s="3264"/>
    </row>
    <row r="123" spans="1:11" ht="18.75" customHeight="1">
      <c r="A123" s="3204" t="s">
        <v>2310</v>
      </c>
      <c r="B123" s="3204"/>
      <c r="C123" s="3204"/>
      <c r="D123" s="3267" t="str">
        <f ca="1">NUMBERSTRING(INT(D122*10000),2)&amp;"元整"</f>
        <v>捌亿壹仟捌佰柒拾伍万元整</v>
      </c>
      <c r="E123" s="3269"/>
      <c r="F123" s="3269"/>
      <c r="G123" s="3269"/>
      <c r="H123" s="3269"/>
      <c r="I123" s="3268"/>
    </row>
    <row r="124" spans="1:11" ht="18.75" customHeight="1">
      <c r="A124" s="3273" t="str">
        <f>IF(项目基本情况!B9="房地产市场价值","",MID(E109,3,LEN(E109)-2))</f>
        <v>抵押担保权已注销时的房地产抵押价值</v>
      </c>
      <c r="B124" s="3273"/>
      <c r="C124" s="3273"/>
      <c r="D124" s="3262">
        <f ca="1">H109</f>
        <v>81875</v>
      </c>
      <c r="E124" s="3263"/>
      <c r="F124" s="3263"/>
      <c r="G124" s="3263"/>
      <c r="H124" s="3263"/>
      <c r="I124" s="3264"/>
    </row>
    <row r="125" spans="1:11" ht="18.75" customHeight="1">
      <c r="A125" s="3204" t="s">
        <v>2310</v>
      </c>
      <c r="B125" s="3204"/>
      <c r="C125" s="3204"/>
      <c r="D125" s="3267" t="str">
        <f ca="1">NUMBERSTRING(INT(D124*10000),2)&amp;"元整"</f>
        <v>捌亿壹仟捌佰柒拾伍万元整</v>
      </c>
      <c r="E125" s="3269"/>
      <c r="F125" s="3269"/>
      <c r="G125" s="3269"/>
      <c r="H125" s="3269"/>
      <c r="I125" s="3268"/>
    </row>
    <row r="126" spans="1:11" ht="18.75" customHeight="1">
      <c r="A126" s="3273" t="str">
        <f>IF(项目基本情况!B9="房地产市场价值","",MID(E111,3,LEN(E111)-2))</f>
        <v/>
      </c>
      <c r="B126" s="3273"/>
      <c r="C126" s="3273"/>
      <c r="D126" s="3262" t="str">
        <f>H111</f>
        <v>——</v>
      </c>
      <c r="E126" s="3263"/>
      <c r="F126" s="3263"/>
      <c r="G126" s="3263"/>
      <c r="H126" s="3263"/>
      <c r="I126" s="3264"/>
    </row>
    <row r="127" spans="1:11" ht="18.75" customHeight="1">
      <c r="A127" s="3204" t="s">
        <v>2310</v>
      </c>
      <c r="B127" s="3204"/>
      <c r="C127" s="3204"/>
      <c r="D127" s="3267" t="e">
        <f>NUMBERSTRING(INT(D126*10000),2)&amp;"元整"</f>
        <v>#VALUE!</v>
      </c>
      <c r="E127" s="3269"/>
      <c r="F127" s="3269"/>
      <c r="G127" s="3269"/>
      <c r="H127" s="3269"/>
      <c r="I127" s="3268"/>
    </row>
    <row r="128" spans="1:11" ht="21.75" customHeight="1">
      <c r="A128" s="3270" t="s">
        <v>2311</v>
      </c>
      <c r="B128" s="3270"/>
      <c r="C128" s="3270"/>
      <c r="D128" s="3270"/>
      <c r="E128" s="3270"/>
      <c r="F128" s="3270"/>
      <c r="G128" s="3270"/>
      <c r="H128" s="3270"/>
      <c r="I128" s="3270"/>
    </row>
    <row r="129" spans="1:35" ht="21.75" customHeight="1">
      <c r="A129" s="2524" t="s">
        <v>2312</v>
      </c>
      <c r="B129" s="2525"/>
      <c r="C129" s="2526" t="s">
        <v>2313</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2314</v>
      </c>
      <c r="G135" s="2541"/>
      <c r="H135" s="2541"/>
      <c r="I135" s="2542" t="s">
        <v>2315</v>
      </c>
    </row>
    <row r="136" spans="1:35" ht="21.75" customHeight="1">
      <c r="A136" s="795"/>
      <c r="B136" s="2543" t="s">
        <v>2316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2317</v>
      </c>
    </row>
    <row r="139" spans="1:35" ht="21.75" customHeight="1">
      <c r="A139" s="795"/>
      <c r="B139" s="2543" t="s">
        <v>2318</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2317</v>
      </c>
    </row>
    <row r="142" spans="1:35" ht="21.75" customHeight="1">
      <c r="A142" s="795"/>
      <c r="B142" s="2543"/>
      <c r="C142" s="2544"/>
      <c r="D142" s="2545"/>
      <c r="E142" s="2545"/>
      <c r="F142" s="2337"/>
      <c r="G142" s="795"/>
      <c r="H142" s="795"/>
      <c r="I142" s="795"/>
    </row>
    <row r="143" spans="1:35" s="139" customFormat="1" ht="21.75" customHeight="1">
      <c r="A143" s="795"/>
      <c r="B143" s="2543"/>
      <c r="C143" s="2544"/>
      <c r="D143" s="2545"/>
      <c r="E143" s="2545"/>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36" sqref="G3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2319</v>
      </c>
      <c r="B1" s="1937"/>
      <c r="C1" s="242"/>
      <c r="D1" s="242"/>
      <c r="E1" s="242"/>
      <c r="F1" s="242"/>
      <c r="G1" s="1379">
        <f>MATCH(B1,'数据-取费表'!A6:A16,0)+5</f>
        <v>7</v>
      </c>
    </row>
    <row r="2" spans="1:9" s="244" customFormat="1" ht="18" customHeight="1">
      <c r="A2" s="245" t="s">
        <v>2320</v>
      </c>
      <c r="B2" s="246">
        <f ca="1">IF(D2="——",C52,C52-E2)</f>
        <v>101560</v>
      </c>
      <c r="C2" s="243" t="s">
        <v>2321</v>
      </c>
      <c r="D2" s="2546" t="s">
        <v>70</v>
      </c>
      <c r="E2" s="1440" t="e">
        <f ca="1">SUMIF(INDIRECT("'"&amp;G2&amp;"'"&amp;"!A:A"),"承租人权益价值",INDIRECT("'"&amp;G2&amp;"'"&amp;"!c:c"))</f>
        <v>#REF!</v>
      </c>
      <c r="F2" s="2547" t="s">
        <v>2321</v>
      </c>
      <c r="G2" s="2548"/>
    </row>
    <row r="3" spans="1:9" s="244" customFormat="1" ht="18" customHeight="1" thickBot="1">
      <c r="A3" s="247" t="s">
        <v>2322</v>
      </c>
      <c r="B3" s="248">
        <f ca="1">ROUND(B2*10000/(IF(B1="",'数据-汇总表'!E3,INDIRECT("'数据-取费表'!k"&amp;$G$1))),0)</f>
        <v>5261</v>
      </c>
      <c r="C3" s="243" t="s">
        <v>2323</v>
      </c>
      <c r="D3" s="243"/>
      <c r="E3" s="243"/>
      <c r="F3" s="243"/>
      <c r="G3" s="243"/>
    </row>
    <row r="4" spans="1:9" s="252" customFormat="1" ht="15.75">
      <c r="A4" s="249" t="s">
        <v>2324</v>
      </c>
      <c r="B4" s="250"/>
      <c r="C4" s="250"/>
      <c r="D4" s="250"/>
      <c r="E4" s="250"/>
      <c r="F4" s="250"/>
      <c r="G4" s="251"/>
    </row>
    <row r="5" spans="1:9" s="258" customFormat="1" ht="13.5" customHeight="1">
      <c r="A5" s="299" t="s">
        <v>2325</v>
      </c>
      <c r="B5" s="254" t="s">
        <v>2326</v>
      </c>
      <c r="C5" s="255">
        <f>C6+C7+C8</f>
        <v>57729</v>
      </c>
      <c r="D5" s="255" t="s">
        <v>2327</v>
      </c>
      <c r="E5" s="256" t="s">
        <v>2328</v>
      </c>
      <c r="F5" s="256" t="s">
        <v>2329</v>
      </c>
      <c r="G5" s="257"/>
    </row>
    <row r="6" spans="1:9" s="258" customFormat="1" ht="13.5" customHeight="1">
      <c r="A6" s="949" t="s">
        <v>2330</v>
      </c>
      <c r="B6" s="259" t="s">
        <v>2331</v>
      </c>
      <c r="C6" s="260">
        <f>'土地比较法-工业'!B2</f>
        <v>51993</v>
      </c>
      <c r="D6" s="261"/>
      <c r="E6" s="262"/>
      <c r="F6" s="262"/>
      <c r="G6" s="263"/>
    </row>
    <row r="7" spans="1:9" s="258" customFormat="1" ht="13.5" customHeight="1">
      <c r="A7" s="949" t="s">
        <v>2332</v>
      </c>
      <c r="B7" s="259" t="s">
        <v>2333</v>
      </c>
      <c r="C7" s="264">
        <f>ROUND(C6*F7,0)</f>
        <v>1586</v>
      </c>
      <c r="D7" s="264"/>
      <c r="E7" s="262"/>
      <c r="F7" s="265">
        <f>'数据-取费表'!B48+'数据-取费表'!B49</f>
        <v>3.0499999999999999E-2</v>
      </c>
      <c r="G7" s="263"/>
    </row>
    <row r="8" spans="1:9" s="267" customFormat="1">
      <c r="A8" s="949" t="s">
        <v>2334</v>
      </c>
      <c r="B8" s="259" t="s">
        <v>2335</v>
      </c>
      <c r="C8" s="264">
        <f>IF(G8="已包含在土地购买价格中","0",IF(B1="",'数据-取费表'!B29,IF(G9="全部缴纳",C9+C10,H9)))</f>
        <v>4150</v>
      </c>
      <c r="D8" s="266"/>
      <c r="E8" s="264"/>
      <c r="F8" s="265"/>
      <c r="G8" s="2549" t="s">
        <v>3289</v>
      </c>
    </row>
    <row r="9" spans="1:9" s="258" customFormat="1" ht="13.5" customHeight="1">
      <c r="A9" s="950" t="s">
        <v>800</v>
      </c>
      <c r="B9" s="268" t="s">
        <v>2336</v>
      </c>
      <c r="C9" s="269">
        <f ca="1">ROUND(D9*E9/10000,0)</f>
        <v>0</v>
      </c>
      <c r="D9" s="1032">
        <f ca="1">IF(B1="",'数据-汇总表'!E5,IF(INDIRECT("'数据-取费表'!c"&amp;$G$1)="住宅",INDIRECT("'数据-取费表'!k"&amp;$G$1),0))</f>
        <v>0</v>
      </c>
      <c r="E9" s="269">
        <f>'数据-取费表'!B27</f>
        <v>165</v>
      </c>
      <c r="F9" s="265"/>
      <c r="G9" s="2550"/>
      <c r="H9" s="1390"/>
      <c r="I9" s="2551" t="s">
        <v>2337</v>
      </c>
    </row>
    <row r="10" spans="1:9" s="258" customFormat="1" ht="13.5" customHeight="1">
      <c r="A10" s="950" t="s">
        <v>801</v>
      </c>
      <c r="B10" s="268" t="s">
        <v>2338</v>
      </c>
      <c r="C10" s="269">
        <f ca="1">ROUND(D10*E10/10000,0)</f>
        <v>4150</v>
      </c>
      <c r="D10" s="1032">
        <f ca="1">IF(B1="",'数据-汇总表'!E6,IF(INDIRECT("'数据-取费表'!c"&amp;$G$1)="住宅",INDIRECT("'数据-取费表'!s"&amp;$G$1),INDIRECT("'数据-取费表'!k"&amp;$G$1)+INDIRECT("'数据-取费表'!s"&amp;$G$1)))</f>
        <v>193040.62000000002</v>
      </c>
      <c r="E10" s="269">
        <f>'数据-取费表'!B28</f>
        <v>215</v>
      </c>
      <c r="F10" s="265"/>
      <c r="G10" s="270"/>
    </row>
    <row r="11" spans="1:9" s="258" customFormat="1" ht="13.5" hidden="1" customHeight="1">
      <c r="A11" s="271" t="s">
        <v>7</v>
      </c>
      <c r="B11" s="259" t="s">
        <v>2339</v>
      </c>
      <c r="C11" s="255"/>
      <c r="D11" s="1034"/>
      <c r="E11" s="262"/>
      <c r="F11" s="262"/>
      <c r="G11" s="263"/>
    </row>
    <row r="12" spans="1:9" s="258" customFormat="1" ht="13.5" hidden="1" customHeight="1">
      <c r="A12" s="271" t="s">
        <v>8</v>
      </c>
      <c r="B12" s="259" t="s">
        <v>2340</v>
      </c>
      <c r="C12" s="255">
        <v>0</v>
      </c>
      <c r="D12" s="1034"/>
      <c r="E12" s="272"/>
      <c r="F12" s="265">
        <v>3.0499999999999999E-2</v>
      </c>
      <c r="G12" s="263"/>
    </row>
    <row r="13" spans="1:9" s="258" customFormat="1" ht="13.5" hidden="1" customHeight="1">
      <c r="A13" s="271" t="s">
        <v>9</v>
      </c>
      <c r="B13" s="259" t="s">
        <v>2341</v>
      </c>
      <c r="C13" s="255"/>
      <c r="D13" s="1034"/>
      <c r="E13" s="262"/>
      <c r="F13" s="262"/>
      <c r="G13" s="263"/>
    </row>
    <row r="14" spans="1:9" s="258" customFormat="1" ht="13.5" hidden="1" customHeight="1">
      <c r="A14" s="271" t="s">
        <v>10</v>
      </c>
      <c r="B14" s="259" t="s">
        <v>2342</v>
      </c>
      <c r="C14" s="255"/>
      <c r="D14" s="1034"/>
      <c r="E14" s="262"/>
      <c r="F14" s="262"/>
      <c r="G14" s="263" t="s">
        <v>2343</v>
      </c>
    </row>
    <row r="15" spans="1:9" s="258" customFormat="1" ht="13.5" hidden="1" customHeight="1">
      <c r="A15" s="271" t="s">
        <v>11</v>
      </c>
      <c r="B15" s="259" t="s">
        <v>2344</v>
      </c>
      <c r="C15" s="264"/>
      <c r="D15" s="1034"/>
      <c r="E15" s="262"/>
      <c r="F15" s="262"/>
      <c r="G15" s="263" t="s">
        <v>2345</v>
      </c>
    </row>
    <row r="16" spans="1:9" s="258" customFormat="1" ht="13.5" hidden="1" customHeight="1">
      <c r="A16" s="271" t="s">
        <v>12</v>
      </c>
      <c r="B16" s="259" t="s">
        <v>2342</v>
      </c>
      <c r="C16" s="264"/>
      <c r="D16" s="1034"/>
      <c r="E16" s="262"/>
      <c r="F16" s="262"/>
      <c r="G16" s="263"/>
    </row>
    <row r="17" spans="1:7" s="258" customFormat="1" ht="13.5" hidden="1" customHeight="1">
      <c r="A17" s="271" t="s">
        <v>13</v>
      </c>
      <c r="B17" s="259" t="s">
        <v>2346</v>
      </c>
      <c r="C17" s="273"/>
      <c r="D17" s="1035"/>
      <c r="E17" s="273"/>
      <c r="F17" s="273"/>
      <c r="G17" s="263" t="s">
        <v>2345</v>
      </c>
    </row>
    <row r="18" spans="1:7" s="258" customFormat="1" ht="13.5" hidden="1" customHeight="1">
      <c r="A18" s="271" t="s">
        <v>14</v>
      </c>
      <c r="B18" s="259" t="s">
        <v>2347</v>
      </c>
      <c r="C18" s="264">
        <v>0</v>
      </c>
      <c r="D18" s="1034"/>
      <c r="E18" s="262"/>
      <c r="F18" s="265">
        <v>3.0499999999999999E-2</v>
      </c>
      <c r="G18" s="263" t="s">
        <v>2348</v>
      </c>
    </row>
    <row r="19" spans="1:7" s="267" customFormat="1" ht="13.5" customHeight="1">
      <c r="A19" s="299" t="s">
        <v>2349</v>
      </c>
      <c r="B19" s="254" t="s">
        <v>2350</v>
      </c>
      <c r="C19" s="255" t="str">
        <f>IF(G19="已包含在土地取得成本中","0",ROUND(D19*E19/10000,0))</f>
        <v>0</v>
      </c>
      <c r="D19" s="1036">
        <f ca="1">D9+D10</f>
        <v>193040.62000000002</v>
      </c>
      <c r="E19" s="255">
        <f>'数据-取费表'!B31</f>
        <v>200</v>
      </c>
      <c r="F19" s="275"/>
      <c r="G19" s="2549" t="s">
        <v>3290</v>
      </c>
    </row>
    <row r="20" spans="1:7" s="258" customFormat="1" ht="13.5" customHeight="1">
      <c r="A20" s="299" t="s">
        <v>2351</v>
      </c>
      <c r="B20" s="254" t="s">
        <v>2352</v>
      </c>
      <c r="C20" s="276">
        <f>ROUND((C5+C19)*F20,0)</f>
        <v>1155</v>
      </c>
      <c r="D20" s="276"/>
      <c r="E20" s="276"/>
      <c r="F20" s="277">
        <f>'数据-取费表'!B37</f>
        <v>0.02</v>
      </c>
      <c r="G20" s="278" t="s">
        <v>2353</v>
      </c>
    </row>
    <row r="21" spans="1:7" s="258" customFormat="1" ht="13.5" customHeight="1">
      <c r="A21" s="299" t="s">
        <v>2354</v>
      </c>
      <c r="B21" s="254" t="s">
        <v>2355</v>
      </c>
      <c r="C21" s="279">
        <f>F21</f>
        <v>0.03</v>
      </c>
      <c r="D21" s="280" t="s">
        <v>2356</v>
      </c>
      <c r="E21" s="276"/>
      <c r="F21" s="277">
        <f>'数据-取费表'!B38</f>
        <v>0.03</v>
      </c>
      <c r="G21" s="278" t="s">
        <v>2357</v>
      </c>
    </row>
    <row r="22" spans="1:7" s="258" customFormat="1" ht="13.5" customHeight="1">
      <c r="A22" s="299" t="s">
        <v>2358</v>
      </c>
      <c r="B22" s="254" t="s">
        <v>2359</v>
      </c>
      <c r="C22" s="1354">
        <f ca="1">ROUND(SUM(C23:C25),0)</f>
        <v>4203</v>
      </c>
      <c r="D22" s="279">
        <f ca="1">C26</f>
        <v>1.1000000000000001E-3</v>
      </c>
      <c r="E22" s="280" t="s">
        <v>2356</v>
      </c>
      <c r="F22" s="281">
        <f ca="1">'数据-取费表'!B40</f>
        <v>4.7500000000000001E-2</v>
      </c>
      <c r="G22" s="278" t="str">
        <f>IF('数据-取费表'!B22&lt;=1,"单利计息","复利计息")</f>
        <v>复利计息</v>
      </c>
    </row>
    <row r="23" spans="1:7" s="258" customFormat="1" ht="13.5" customHeight="1">
      <c r="A23" s="951" t="s">
        <v>2360</v>
      </c>
      <c r="B23" s="259" t="s">
        <v>2361</v>
      </c>
      <c r="C23" s="1355">
        <f ca="1">ROUND(IF('数据-取费表'!B22&lt;=1,C5*F22*'数据-取费表'!B23,C5*(POWER((1+F22),'数据-取费表'!B23)-1)),0)</f>
        <v>4162</v>
      </c>
      <c r="D23" s="282"/>
      <c r="E23" s="282"/>
      <c r="F23" s="283"/>
      <c r="G23" s="284" t="s">
        <v>2362</v>
      </c>
    </row>
    <row r="24" spans="1:7" s="258" customFormat="1" ht="13.5" customHeight="1">
      <c r="A24" s="951" t="s">
        <v>2363</v>
      </c>
      <c r="B24" s="259" t="s">
        <v>2364</v>
      </c>
      <c r="C24" s="1355">
        <f ca="1">ROUND(IF('数据-取费表'!B22&lt;=1,C19*F22*('数据-取费表'!B19/2+'数据-取费表'!B21),C19*(POWER((1+F22),('数据-取费表'!B19/2+'数据-取费表'!B21))-1)),0)</f>
        <v>0</v>
      </c>
      <c r="D24" s="282"/>
      <c r="E24" s="282"/>
      <c r="F24" s="283"/>
      <c r="G24" s="284" t="s">
        <v>2365</v>
      </c>
    </row>
    <row r="25" spans="1:7" s="258" customFormat="1" ht="24">
      <c r="A25" s="951" t="s">
        <v>2366</v>
      </c>
      <c r="B25" s="259" t="s">
        <v>2367</v>
      </c>
      <c r="C25" s="1355">
        <f ca="1">ROUND(IF('数据-取费表'!B22&lt;=1,C20*F22*'数据-取费表'!B23/2,C20*(POWER((1+F22),'数据-取费表'!B23/2)-1)),0)</f>
        <v>41</v>
      </c>
      <c r="D25" s="282"/>
      <c r="E25" s="285"/>
      <c r="F25" s="283"/>
      <c r="G25" s="286" t="s">
        <v>2368</v>
      </c>
    </row>
    <row r="26" spans="1:7" s="258" customFormat="1">
      <c r="A26" s="951" t="s">
        <v>795</v>
      </c>
      <c r="B26" s="259" t="s">
        <v>2369</v>
      </c>
      <c r="C26" s="282">
        <f ca="1">ROUND(IF('数据-取费表'!B22&lt;=1,F21*F22*'数据-取费表'!B23/2,F21*(POWER((1+F22),'数据-取费表'!B23/2)-1)),4)</f>
        <v>1.1000000000000001E-3</v>
      </c>
      <c r="D26" s="282"/>
      <c r="E26" s="285"/>
      <c r="F26" s="283"/>
      <c r="G26" s="287"/>
    </row>
    <row r="27" spans="1:7" s="258" customFormat="1" ht="24.75">
      <c r="A27" s="299" t="s">
        <v>2370</v>
      </c>
      <c r="B27" s="288" t="s">
        <v>2371</v>
      </c>
      <c r="C27" s="289">
        <f ca="1">C28</f>
        <v>5888</v>
      </c>
      <c r="D27" s="279">
        <f ca="1">C29</f>
        <v>3.0000000000000001E-3</v>
      </c>
      <c r="E27" s="280" t="s">
        <v>2372</v>
      </c>
      <c r="F27" s="290">
        <f ca="1">IF(B1="",'数据-取费表'!Q16,INDIRECT("'数据-取费表'!q"&amp;$G$1))</f>
        <v>0.1</v>
      </c>
      <c r="G27" s="291" t="s">
        <v>2373</v>
      </c>
    </row>
    <row r="28" spans="1:7" s="258" customFormat="1" ht="13.5" customHeight="1">
      <c r="A28" s="951" t="s">
        <v>791</v>
      </c>
      <c r="B28" s="292" t="s">
        <v>2374</v>
      </c>
      <c r="C28" s="293">
        <f ca="1">ROUND((C5+C19+C20)*F27*'数据-取费表'!B21/'数据-取费表'!B20,0)</f>
        <v>5888</v>
      </c>
      <c r="D28" s="279"/>
      <c r="E28" s="280"/>
      <c r="F28" s="290"/>
      <c r="G28" s="291"/>
    </row>
    <row r="29" spans="1:7" s="258" customFormat="1" ht="13.5" customHeight="1">
      <c r="A29" s="951" t="s">
        <v>792</v>
      </c>
      <c r="B29" s="292" t="s">
        <v>2375</v>
      </c>
      <c r="C29" s="282">
        <f ca="1">ROUND(C21*F27*'数据-取费表'!B21/'数据-取费表'!B20,4)</f>
        <v>3.0000000000000001E-3</v>
      </c>
      <c r="D29" s="279"/>
      <c r="E29" s="280"/>
      <c r="F29" s="290"/>
      <c r="G29" s="291"/>
    </row>
    <row r="30" spans="1:7" s="258" customFormat="1" ht="13.5" customHeight="1">
      <c r="A30" s="299" t="s">
        <v>2376</v>
      </c>
      <c r="B30" s="254" t="s">
        <v>2377</v>
      </c>
      <c r="C30" s="279">
        <f>ROUND(F30/(1+'数据-取费表'!C42),4)</f>
        <v>5.33E-2</v>
      </c>
      <c r="D30" s="280" t="s">
        <v>2372</v>
      </c>
      <c r="E30" s="285"/>
      <c r="F30" s="281">
        <f>'数据-取费表'!B41</f>
        <v>5.6000000000000001E-2</v>
      </c>
      <c r="G30" s="278" t="s">
        <v>2378</v>
      </c>
    </row>
    <row r="31" spans="1:7" ht="16.5" customHeight="1">
      <c r="A31" s="253">
        <v>1</v>
      </c>
      <c r="B31" s="254" t="s">
        <v>2379</v>
      </c>
      <c r="C31" s="255">
        <f ca="1">ROUND((C5+C19+C20+C22+C27)/(1-C21-D22-D27-C30),0)</f>
        <v>75581</v>
      </c>
      <c r="D31" s="274"/>
      <c r="E31" s="255"/>
      <c r="F31" s="294"/>
      <c r="G31" s="278" t="s">
        <v>2380</v>
      </c>
    </row>
    <row r="32" spans="1:7" s="252" customFormat="1" ht="15.75">
      <c r="A32" s="296" t="s">
        <v>2381</v>
      </c>
      <c r="B32" s="297"/>
      <c r="C32" s="297"/>
      <c r="D32" s="297"/>
      <c r="E32" s="297"/>
      <c r="F32" s="297"/>
      <c r="G32" s="298"/>
    </row>
    <row r="33" spans="1:7" s="258" customFormat="1" ht="13.5" customHeight="1">
      <c r="A33" s="299" t="s">
        <v>782</v>
      </c>
      <c r="B33" s="254" t="s">
        <v>2382</v>
      </c>
      <c r="C33" s="300">
        <f ca="1">SUM(C34:C38)</f>
        <v>34120</v>
      </c>
      <c r="D33" s="276"/>
      <c r="E33" s="256"/>
      <c r="F33" s="285"/>
      <c r="G33" s="278"/>
    </row>
    <row r="34" spans="1:7" s="302" customFormat="1" ht="13.5" customHeight="1">
      <c r="A34" s="951" t="s">
        <v>791</v>
      </c>
      <c r="B34" s="259" t="s">
        <v>2383</v>
      </c>
      <c r="C34" s="264">
        <f ca="1">IF(B1="",IF(F34=100%,'数据-取费表'!M16,'数据-取费表'!O16),IF(F34=100%,INDIRECT("'数据-取费表'!m"&amp;$G$1)+INDIRECT("'数据-取费表'!t"&amp;$G$1),INDIRECT("'数据-取费表'!o"&amp;$G$1)+INDIRECT("'数据-取费表'!aq"&amp;$G$1)))</f>
        <v>28956</v>
      </c>
      <c r="D34" s="261"/>
      <c r="E34" s="264"/>
      <c r="F34" s="301">
        <f ca="1">IF('数据-取费表'!B24=0,1,IF(B1="",'数据-取费表'!N16,INDIRECT("'数据-取费表'!n"&amp;$G$1)))</f>
        <v>1</v>
      </c>
      <c r="G34" s="263" t="s">
        <v>2384</v>
      </c>
    </row>
    <row r="35" spans="1:7" ht="13.5" customHeight="1">
      <c r="A35" s="951" t="s">
        <v>796</v>
      </c>
      <c r="B35" s="259" t="s">
        <v>2385</v>
      </c>
      <c r="C35" s="264">
        <f ca="1">ROUND(C34*F35,0)</f>
        <v>869</v>
      </c>
      <c r="D35" s="264"/>
      <c r="E35" s="264"/>
      <c r="F35" s="303">
        <f>'数据-取费表'!B33</f>
        <v>0.03</v>
      </c>
      <c r="G35" s="263" t="s">
        <v>2386</v>
      </c>
    </row>
    <row r="36" spans="1:7" ht="24">
      <c r="A36" s="951" t="s">
        <v>797</v>
      </c>
      <c r="B36" s="259" t="s">
        <v>2387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2388</v>
      </c>
    </row>
    <row r="37" spans="1:7" s="302" customFormat="1" ht="13.5" customHeight="1">
      <c r="A37" s="951" t="s">
        <v>798</v>
      </c>
      <c r="B37" s="259" t="s">
        <v>2389</v>
      </c>
      <c r="C37" s="293">
        <f ca="1">ROUND(E37*D37*F34/10000,0)</f>
        <v>3861</v>
      </c>
      <c r="D37" s="261">
        <f ca="1">D19</f>
        <v>193040.62000000002</v>
      </c>
      <c r="E37" s="293">
        <f>'数据-取费表'!B35</f>
        <v>200</v>
      </c>
      <c r="F37" s="303"/>
      <c r="G37" s="305" t="s">
        <v>2390</v>
      </c>
    </row>
    <row r="38" spans="1:7" ht="13.5" customHeight="1">
      <c r="A38" s="951" t="s">
        <v>799</v>
      </c>
      <c r="B38" s="259" t="s">
        <v>2391</v>
      </c>
      <c r="C38" s="264">
        <f ca="1">ROUND(C34*F38,0)</f>
        <v>434</v>
      </c>
      <c r="D38" s="264"/>
      <c r="E38" s="264"/>
      <c r="F38" s="303">
        <f>'数据-取费表'!B36</f>
        <v>1.4999999999999999E-2</v>
      </c>
      <c r="G38" s="263" t="s">
        <v>2386</v>
      </c>
    </row>
    <row r="39" spans="1:7" s="258" customFormat="1" ht="13.5" customHeight="1">
      <c r="A39" s="299" t="s">
        <v>2392</v>
      </c>
      <c r="B39" s="254" t="s">
        <v>2393</v>
      </c>
      <c r="C39" s="276">
        <f ca="1">ROUND(C33*F20,0)</f>
        <v>682</v>
      </c>
      <c r="D39" s="276"/>
      <c r="E39" s="276"/>
      <c r="F39" s="277"/>
      <c r="G39" s="278" t="s">
        <v>2394</v>
      </c>
    </row>
    <row r="40" spans="1:7" s="258" customFormat="1" ht="13.5" customHeight="1">
      <c r="A40" s="299" t="s">
        <v>2395</v>
      </c>
      <c r="B40" s="254" t="s">
        <v>2396</v>
      </c>
      <c r="C40" s="1728">
        <f>F21</f>
        <v>0.03</v>
      </c>
      <c r="D40" s="280" t="s">
        <v>2397</v>
      </c>
      <c r="E40" s="276"/>
      <c r="F40" s="277"/>
      <c r="G40" s="278" t="s">
        <v>2398</v>
      </c>
    </row>
    <row r="41" spans="1:7" s="258" customFormat="1" ht="13.5" customHeight="1">
      <c r="A41" s="299" t="s">
        <v>2399</v>
      </c>
      <c r="B41" s="254" t="s">
        <v>2400</v>
      </c>
      <c r="C41" s="276">
        <f ca="1">ROUND(SUM(C42:C43),0)</f>
        <v>1232</v>
      </c>
      <c r="D41" s="279">
        <f ca="1">C44</f>
        <v>1.1000000000000001E-3</v>
      </c>
      <c r="E41" s="280" t="s">
        <v>2397</v>
      </c>
      <c r="F41" s="281"/>
      <c r="G41" s="278" t="str">
        <f>IF('数据-取费表'!B22&lt;=1,"单利计息","复利计息")</f>
        <v>复利计息</v>
      </c>
    </row>
    <row r="42" spans="1:7" ht="13.5" customHeight="1">
      <c r="A42" s="951" t="s">
        <v>791</v>
      </c>
      <c r="B42" s="259" t="s">
        <v>2401</v>
      </c>
      <c r="C42" s="282">
        <f ca="1">ROUND(IF('数据-取费表'!B22&lt;=1,C33*F22*'数据-取费表'!B21/2,C33*(POWER((1+F22),'数据-取费表'!B21/2)-1)),0)</f>
        <v>1208</v>
      </c>
      <c r="D42" s="282"/>
      <c r="E42" s="282"/>
      <c r="F42" s="283"/>
      <c r="G42" s="3342" t="s">
        <v>2402</v>
      </c>
    </row>
    <row r="43" spans="1:7" ht="13.5" customHeight="1">
      <c r="A43" s="951" t="s">
        <v>792</v>
      </c>
      <c r="B43" s="259" t="s">
        <v>2403</v>
      </c>
      <c r="C43" s="282">
        <f ca="1">ROUND(IF('数据-取费表'!B22&lt;=1,C39*F22*'数据-取费表'!B21/2,C39*(POWER((1+F22),'数据-取费表'!B21/2)-1)),0)</f>
        <v>24</v>
      </c>
      <c r="D43" s="282"/>
      <c r="E43" s="282"/>
      <c r="F43" s="283"/>
      <c r="G43" s="3343"/>
    </row>
    <row r="44" spans="1:7" ht="13.5" customHeight="1">
      <c r="A44" s="951" t="s">
        <v>793</v>
      </c>
      <c r="B44" s="259" t="s">
        <v>2404</v>
      </c>
      <c r="C44" s="282">
        <f ca="1">ROUND(IF('数据-取费表'!B22&lt;=1,C40*F22*'数据-取费表'!B21/2,C40*(POWER((1+F22),'数据-取费表'!B21/2)-1)),4)</f>
        <v>1.1000000000000001E-3</v>
      </c>
      <c r="D44" s="282"/>
      <c r="E44" s="282"/>
      <c r="F44" s="283"/>
      <c r="G44" s="3344"/>
    </row>
    <row r="45" spans="1:7" s="258" customFormat="1" ht="13.5" customHeight="1">
      <c r="A45" s="299" t="s">
        <v>2405</v>
      </c>
      <c r="B45" s="288" t="s">
        <v>2371</v>
      </c>
      <c r="C45" s="289">
        <f ca="1">C46</f>
        <v>3480</v>
      </c>
      <c r="D45" s="279">
        <f ca="1">C47</f>
        <v>3.0000000000000001E-3</v>
      </c>
      <c r="E45" s="280" t="s">
        <v>2397</v>
      </c>
      <c r="F45" s="290"/>
      <c r="G45" s="291" t="s">
        <v>2406</v>
      </c>
    </row>
    <row r="46" spans="1:7" s="258" customFormat="1" ht="13.5" customHeight="1">
      <c r="A46" s="951" t="s">
        <v>791</v>
      </c>
      <c r="B46" s="292" t="s">
        <v>2407</v>
      </c>
      <c r="C46" s="293">
        <f ca="1">ROUND((C33+C39)*F27,0)</f>
        <v>3480</v>
      </c>
      <c r="D46" s="307"/>
      <c r="E46" s="280"/>
      <c r="F46" s="290"/>
      <c r="G46" s="291"/>
    </row>
    <row r="47" spans="1:7" s="258" customFormat="1" ht="13.5" customHeight="1">
      <c r="A47" s="951" t="s">
        <v>792</v>
      </c>
      <c r="B47" s="292" t="s">
        <v>2408</v>
      </c>
      <c r="C47" s="282">
        <f ca="1">ROUND(C40*F27,4)</f>
        <v>3.0000000000000001E-3</v>
      </c>
      <c r="D47" s="307"/>
      <c r="E47" s="280"/>
      <c r="F47" s="290"/>
      <c r="G47" s="291"/>
    </row>
    <row r="48" spans="1:7" s="258" customFormat="1" ht="13.5" customHeight="1">
      <c r="A48" s="299" t="s">
        <v>2370</v>
      </c>
      <c r="B48" s="254" t="s">
        <v>2409</v>
      </c>
      <c r="C48" s="1728">
        <f>ROUND(F30/(1+'数据-取费表'!C42),4)</f>
        <v>5.33E-2</v>
      </c>
      <c r="D48" s="280" t="s">
        <v>2397</v>
      </c>
      <c r="E48" s="276"/>
      <c r="F48" s="281"/>
      <c r="G48" s="278" t="s">
        <v>2410</v>
      </c>
    </row>
    <row r="49" spans="1:7" ht="16.5" customHeight="1">
      <c r="A49" s="299" t="s">
        <v>2376</v>
      </c>
      <c r="B49" s="254" t="s">
        <v>2411</v>
      </c>
      <c r="C49" s="276">
        <f ca="1">ROUND((C33+C39+C41+C45)/(1-C40-D41-D45-C48),0)</f>
        <v>43298</v>
      </c>
      <c r="D49" s="276"/>
      <c r="E49" s="276"/>
      <c r="F49" s="308"/>
      <c r="G49" s="278" t="s">
        <v>2412</v>
      </c>
    </row>
    <row r="50" spans="1:7" s="302" customFormat="1" ht="24">
      <c r="A50" s="299" t="s">
        <v>2413</v>
      </c>
      <c r="B50" s="254" t="s">
        <v>2414</v>
      </c>
      <c r="C50" s="276"/>
      <c r="D50" s="276"/>
      <c r="E50" s="276"/>
      <c r="F50" s="308">
        <f>IF('数据-取费表'!B24=0,'数据-取费表'!N16,1)</f>
        <v>0.6</v>
      </c>
      <c r="G50" s="291" t="s">
        <v>2415</v>
      </c>
    </row>
    <row r="51" spans="1:7" ht="16.5" customHeight="1">
      <c r="A51" s="299" t="s">
        <v>2416</v>
      </c>
      <c r="B51" s="254" t="s">
        <v>2417</v>
      </c>
      <c r="C51" s="276">
        <f ca="1">ROUND(C49*F50,0)</f>
        <v>25979</v>
      </c>
      <c r="D51" s="276"/>
      <c r="E51" s="276"/>
      <c r="F51" s="308"/>
      <c r="G51" s="278" t="s">
        <v>2418</v>
      </c>
    </row>
    <row r="52" spans="1:7" s="252" customFormat="1" ht="16.5" thickBot="1">
      <c r="A52" s="309" t="s">
        <v>2419</v>
      </c>
      <c r="B52" s="310"/>
      <c r="C52" s="311">
        <f ca="1">C31+C51</f>
        <v>101560</v>
      </c>
      <c r="D52" s="310"/>
      <c r="E52" s="310"/>
      <c r="F52" s="310"/>
      <c r="G52" s="312"/>
    </row>
    <row r="55" spans="1:7" ht="15">
      <c r="B55" s="314" t="s">
        <v>2420</v>
      </c>
      <c r="C55" s="315"/>
    </row>
    <row r="56" spans="1:7">
      <c r="B56" s="317" t="s">
        <v>1509</v>
      </c>
      <c r="C56" s="319">
        <f ca="1">1-C57</f>
        <v>0.74399999999999999</v>
      </c>
    </row>
    <row r="57" spans="1:7">
      <c r="B57" s="317" t="s">
        <v>1510</v>
      </c>
      <c r="C57" s="318">
        <f ca="1">ROUND(C51/C52,3)</f>
        <v>0.25600000000000001</v>
      </c>
    </row>
  </sheetData>
  <sheetProtection password="C66D" sheet="1" objects="1" scenarios="1" formatCells="0"/>
  <mergeCells count="1">
    <mergeCell ref="G42:G44"/>
  </mergeCells>
  <phoneticPr fontId="143" type="noConversion"/>
  <dataValidations disablePrompts="1"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2319</v>
      </c>
      <c r="B1" s="1937"/>
      <c r="C1" s="2552" t="s">
        <v>2421</v>
      </c>
      <c r="D1" s="242"/>
      <c r="E1" s="242"/>
      <c r="F1" s="242"/>
      <c r="G1" s="1379">
        <f>MATCH(B1,'数据-取费表'!A6:A16,0)+5</f>
        <v>7</v>
      </c>
      <c r="H1" s="1282" t="str">
        <f>IF(ISERROR(FIND("住宅",B1)),"非住宅","住宅")</f>
        <v>非住宅</v>
      </c>
    </row>
    <row r="2" spans="1:8" s="244" customFormat="1" ht="18" customHeight="1">
      <c r="A2" s="245" t="s">
        <v>2320</v>
      </c>
      <c r="B2" s="246">
        <f ca="1">ROUND(IF(D2="——",C52/10000,C52/10000-E2),0)</f>
        <v>36468</v>
      </c>
      <c r="C2" s="243" t="s">
        <v>2321</v>
      </c>
      <c r="D2" s="2546" t="s">
        <v>70</v>
      </c>
      <c r="E2" s="1440" t="e">
        <f ca="1">SUMIF(INDIRECT("'"&amp;G2&amp;"'"&amp;"!A:A"),"承租人权益价值",INDIRECT("'"&amp;G2&amp;"'"&amp;"!c:c"))</f>
        <v>#REF!</v>
      </c>
      <c r="F2" s="2547" t="s">
        <v>2321</v>
      </c>
      <c r="G2" s="2548"/>
    </row>
    <row r="3" spans="1:8" s="244" customFormat="1" ht="18" customHeight="1" thickBot="1">
      <c r="A3" s="247" t="s">
        <v>2322</v>
      </c>
      <c r="B3" s="248">
        <f ca="1">ROUND(B2*10000/(IF(B1="",'数据-汇总表'!E3,INDIRECT("'数据-取费表'!k"&amp;$G$1))),0)</f>
        <v>1889</v>
      </c>
      <c r="C3" s="243" t="s">
        <v>2323</v>
      </c>
      <c r="D3" s="243"/>
      <c r="E3" s="243"/>
      <c r="F3" s="243"/>
      <c r="G3" s="243"/>
    </row>
    <row r="4" spans="1:8" s="252" customFormat="1" ht="15.75">
      <c r="A4" s="249" t="s">
        <v>2324</v>
      </c>
      <c r="B4" s="250"/>
      <c r="C4" s="250"/>
      <c r="D4" s="250"/>
      <c r="E4" s="250"/>
      <c r="F4" s="250"/>
      <c r="G4" s="251"/>
    </row>
    <row r="5" spans="1:8" s="258" customFormat="1" ht="13.5" customHeight="1">
      <c r="A5" s="299" t="s">
        <v>2325</v>
      </c>
      <c r="B5" s="254" t="s">
        <v>2326</v>
      </c>
      <c r="C5" s="255">
        <f ca="1">C6+C7+C8</f>
        <v>41503733</v>
      </c>
      <c r="D5" s="255" t="s">
        <v>2327</v>
      </c>
      <c r="E5" s="256" t="s">
        <v>2328</v>
      </c>
      <c r="F5" s="256" t="s">
        <v>2329</v>
      </c>
      <c r="G5" s="257"/>
    </row>
    <row r="6" spans="1:8" s="258" customFormat="1" ht="13.5" customHeight="1">
      <c r="A6" s="949" t="s">
        <v>2330</v>
      </c>
      <c r="B6" s="259" t="s">
        <v>2331</v>
      </c>
      <c r="C6" s="260"/>
      <c r="D6" s="261"/>
      <c r="E6" s="262"/>
      <c r="F6" s="262"/>
      <c r="G6" s="263"/>
    </row>
    <row r="7" spans="1:8" s="258" customFormat="1" ht="13.5" customHeight="1">
      <c r="A7" s="949" t="s">
        <v>2332</v>
      </c>
      <c r="B7" s="259" t="s">
        <v>2333</v>
      </c>
      <c r="C7" s="264">
        <f>ROUND(C6*F7,0)</f>
        <v>0</v>
      </c>
      <c r="D7" s="264"/>
      <c r="E7" s="262"/>
      <c r="F7" s="265">
        <f>'数据-取费表'!B48+'数据-取费表'!B49</f>
        <v>3.0499999999999999E-2</v>
      </c>
      <c r="G7" s="263"/>
    </row>
    <row r="8" spans="1:8" s="267" customFormat="1">
      <c r="A8" s="949" t="s">
        <v>2334</v>
      </c>
      <c r="B8" s="259" t="s">
        <v>2335</v>
      </c>
      <c r="C8" s="264">
        <f ca="1">IF(G8="已包含在土地购买价格中",0,C9+C10)</f>
        <v>41503733</v>
      </c>
      <c r="D8" s="266"/>
      <c r="E8" s="264"/>
      <c r="F8" s="265"/>
      <c r="G8" s="2549"/>
    </row>
    <row r="9" spans="1:8" s="258" customFormat="1" ht="13.5" customHeight="1">
      <c r="A9" s="950" t="s">
        <v>800</v>
      </c>
      <c r="B9" s="268" t="s">
        <v>2336</v>
      </c>
      <c r="C9" s="269">
        <f ca="1">ROUND(D9*E9,0)</f>
        <v>0</v>
      </c>
      <c r="D9" s="1032">
        <f ca="1">IF(B1="",'数据-汇总表'!E5,IF(INDIRECT("'数据-取费表'!c"&amp;$G$1)="住宅",INDIRECT("'数据-取费表'!k"&amp;$G$1),0))</f>
        <v>0</v>
      </c>
      <c r="E9" s="269">
        <f>'数据-取费表'!B27</f>
        <v>165</v>
      </c>
      <c r="F9" s="265"/>
      <c r="G9" s="270"/>
    </row>
    <row r="10" spans="1:8" s="258" customFormat="1" ht="13.5" customHeight="1">
      <c r="A10" s="950" t="s">
        <v>801</v>
      </c>
      <c r="B10" s="268" t="s">
        <v>2338</v>
      </c>
      <c r="C10" s="269">
        <f ca="1">ROUND(D10*E10,0)</f>
        <v>41503733</v>
      </c>
      <c r="D10" s="1032">
        <f ca="1">IF(B1="",'数据-汇总表'!E6,IF(INDIRECT("'数据-取费表'!c"&amp;$G$1)="住宅",INDIRECT("'数据-取费表'!s"&amp;$G$1),INDIRECT("'数据-取费表'!k"&amp;$G$1)+INDIRECT("'数据-取费表'!s"&amp;$G$1)))</f>
        <v>193040.62000000002</v>
      </c>
      <c r="E10" s="269">
        <f>'数据-取费表'!B28</f>
        <v>215</v>
      </c>
      <c r="F10" s="265"/>
      <c r="G10" s="270"/>
    </row>
    <row r="11" spans="1:8" s="258" customFormat="1" ht="13.5" hidden="1" customHeight="1">
      <c r="A11" s="271" t="s">
        <v>7</v>
      </c>
      <c r="B11" s="259" t="s">
        <v>2339</v>
      </c>
      <c r="C11" s="255"/>
      <c r="D11" s="1034"/>
      <c r="E11" s="262"/>
      <c r="F11" s="262"/>
      <c r="G11" s="263"/>
    </row>
    <row r="12" spans="1:8" s="258" customFormat="1" ht="13.5" hidden="1" customHeight="1">
      <c r="A12" s="271" t="s">
        <v>8</v>
      </c>
      <c r="B12" s="259" t="s">
        <v>2422</v>
      </c>
      <c r="C12" s="255">
        <v>0</v>
      </c>
      <c r="D12" s="1034"/>
      <c r="E12" s="272"/>
      <c r="F12" s="265">
        <v>3.0499999999999999E-2</v>
      </c>
      <c r="G12" s="263"/>
    </row>
    <row r="13" spans="1:8" s="258" customFormat="1" ht="13.5" hidden="1" customHeight="1">
      <c r="A13" s="271" t="s">
        <v>9</v>
      </c>
      <c r="B13" s="259" t="s">
        <v>2423</v>
      </c>
      <c r="C13" s="255"/>
      <c r="D13" s="1034"/>
      <c r="E13" s="262"/>
      <c r="F13" s="262"/>
      <c r="G13" s="263"/>
    </row>
    <row r="14" spans="1:8" s="258" customFormat="1" ht="13.5" hidden="1" customHeight="1">
      <c r="A14" s="271" t="s">
        <v>10</v>
      </c>
      <c r="B14" s="259" t="s">
        <v>2335</v>
      </c>
      <c r="C14" s="255"/>
      <c r="D14" s="1034"/>
      <c r="E14" s="262"/>
      <c r="F14" s="262"/>
      <c r="G14" s="263" t="s">
        <v>2424</v>
      </c>
    </row>
    <row r="15" spans="1:8" s="258" customFormat="1" ht="13.5" hidden="1" customHeight="1">
      <c r="A15" s="271" t="s">
        <v>11</v>
      </c>
      <c r="B15" s="259" t="s">
        <v>2425</v>
      </c>
      <c r="C15" s="264"/>
      <c r="D15" s="1034"/>
      <c r="E15" s="262"/>
      <c r="F15" s="262"/>
      <c r="G15" s="263" t="s">
        <v>2426</v>
      </c>
    </row>
    <row r="16" spans="1:8" s="258" customFormat="1" ht="13.5" hidden="1" customHeight="1">
      <c r="A16" s="271" t="s">
        <v>12</v>
      </c>
      <c r="B16" s="259" t="s">
        <v>2335</v>
      </c>
      <c r="C16" s="264"/>
      <c r="D16" s="1034"/>
      <c r="E16" s="262"/>
      <c r="F16" s="262"/>
      <c r="G16" s="263"/>
    </row>
    <row r="17" spans="1:7" s="258" customFormat="1" ht="13.5" hidden="1" customHeight="1">
      <c r="A17" s="271" t="s">
        <v>13</v>
      </c>
      <c r="B17" s="259" t="s">
        <v>2427</v>
      </c>
      <c r="C17" s="273"/>
      <c r="D17" s="1035"/>
      <c r="E17" s="273"/>
      <c r="F17" s="273"/>
      <c r="G17" s="263" t="s">
        <v>2426</v>
      </c>
    </row>
    <row r="18" spans="1:7" s="258" customFormat="1" ht="13.5" hidden="1" customHeight="1">
      <c r="A18" s="271" t="s">
        <v>14</v>
      </c>
      <c r="B18" s="259" t="s">
        <v>2428</v>
      </c>
      <c r="C18" s="264">
        <v>0</v>
      </c>
      <c r="D18" s="1034"/>
      <c r="E18" s="262"/>
      <c r="F18" s="265">
        <v>3.0499999999999999E-2</v>
      </c>
      <c r="G18" s="263" t="s">
        <v>2429</v>
      </c>
    </row>
    <row r="19" spans="1:7" s="267" customFormat="1" ht="13.5" customHeight="1">
      <c r="A19" s="299" t="s">
        <v>2430</v>
      </c>
      <c r="B19" s="254" t="s">
        <v>2431</v>
      </c>
      <c r="C19" s="255">
        <f ca="1">IF(G19="已包含在土地取得成本中","0",ROUND(D19*E19,0))</f>
        <v>38608124</v>
      </c>
      <c r="D19" s="1036">
        <f ca="1">D9+D10</f>
        <v>193040.62000000002</v>
      </c>
      <c r="E19" s="255">
        <f>'数据-取费表'!B31</f>
        <v>200</v>
      </c>
      <c r="F19" s="275"/>
      <c r="G19" s="2549"/>
    </row>
    <row r="20" spans="1:7" s="258" customFormat="1" ht="13.5" customHeight="1">
      <c r="A20" s="299" t="s">
        <v>2432</v>
      </c>
      <c r="B20" s="254" t="s">
        <v>2433</v>
      </c>
      <c r="C20" s="276">
        <f ca="1">ROUND((C5+C19)*F20,0)</f>
        <v>1602237</v>
      </c>
      <c r="D20" s="276"/>
      <c r="E20" s="276"/>
      <c r="F20" s="277">
        <f>'数据-取费表'!B37</f>
        <v>0.02</v>
      </c>
      <c r="G20" s="278" t="s">
        <v>2434</v>
      </c>
    </row>
    <row r="21" spans="1:7" s="258" customFormat="1" ht="13.5" customHeight="1">
      <c r="A21" s="299" t="s">
        <v>2435</v>
      </c>
      <c r="B21" s="254" t="s">
        <v>2436</v>
      </c>
      <c r="C21" s="279">
        <f>F21</f>
        <v>0.03</v>
      </c>
      <c r="D21" s="280" t="s">
        <v>2437</v>
      </c>
      <c r="E21" s="276"/>
      <c r="F21" s="277">
        <f>'数据-取费表'!B38</f>
        <v>0.03</v>
      </c>
      <c r="G21" s="278" t="s">
        <v>2438</v>
      </c>
    </row>
    <row r="22" spans="1:7" s="258" customFormat="1" ht="13.5" customHeight="1">
      <c r="A22" s="299" t="s">
        <v>2439</v>
      </c>
      <c r="B22" s="254" t="s">
        <v>2440</v>
      </c>
      <c r="C22" s="1380">
        <f ca="1">ROUND(SUM(C23:C25),0)</f>
        <v>5831972</v>
      </c>
      <c r="D22" s="279">
        <f ca="1">C26</f>
        <v>1.1000000000000001E-3</v>
      </c>
      <c r="E22" s="280" t="s">
        <v>2437</v>
      </c>
      <c r="F22" s="281">
        <f ca="1">'数据-取费表'!B40</f>
        <v>4.7500000000000001E-2</v>
      </c>
      <c r="G22" s="278" t="str">
        <f>IF('数据-取费表'!B22&lt;=1,"单利计息","复利计息")</f>
        <v>复利计息</v>
      </c>
    </row>
    <row r="23" spans="1:7" s="258" customFormat="1" ht="13.5" customHeight="1">
      <c r="A23" s="951" t="s">
        <v>2330</v>
      </c>
      <c r="B23" s="259" t="s">
        <v>2441</v>
      </c>
      <c r="C23" s="1381">
        <f ca="1">ROUND(IF('数据-取费表'!B22&lt;=1,C5*F22*'数据-取费表'!B22,C5*(POWER((1+F22),'数据-取费表'!B22)-1)),0)</f>
        <v>2991984</v>
      </c>
      <c r="D23" s="282"/>
      <c r="E23" s="282"/>
      <c r="F23" s="283"/>
      <c r="G23" s="284" t="s">
        <v>2442</v>
      </c>
    </row>
    <row r="24" spans="1:7" s="258" customFormat="1" ht="13.5" customHeight="1">
      <c r="A24" s="951" t="s">
        <v>2332</v>
      </c>
      <c r="B24" s="259" t="s">
        <v>2443</v>
      </c>
      <c r="C24" s="1381">
        <f ca="1">ROUND(IF('数据-取费表'!B22&lt;=1,C19*F22*('数据-取费表'!B19/2+'数据-取费表'!B20),C19*(POWER((1+F22),('数据-取费表'!B19/2+'数据-取费表'!B20))-1)),0)</f>
        <v>2783241</v>
      </c>
      <c r="D24" s="282"/>
      <c r="E24" s="282"/>
      <c r="F24" s="283"/>
      <c r="G24" s="284" t="s">
        <v>2444</v>
      </c>
    </row>
    <row r="25" spans="1:7" s="258" customFormat="1" ht="24">
      <c r="A25" s="951" t="s">
        <v>2334</v>
      </c>
      <c r="B25" s="259" t="s">
        <v>2445</v>
      </c>
      <c r="C25" s="1381">
        <f ca="1">ROUND(IF('数据-取费表'!B22&lt;=1,C20*F22*'数据-取费表'!B22/2,C20*(POWER((1+F22),'数据-取费表'!B22/2)-1)),0)</f>
        <v>56747</v>
      </c>
      <c r="D25" s="282"/>
      <c r="E25" s="285"/>
      <c r="F25" s="283"/>
      <c r="G25" s="286" t="s">
        <v>2446</v>
      </c>
    </row>
    <row r="26" spans="1:7" s="258" customFormat="1">
      <c r="A26" s="951" t="s">
        <v>795</v>
      </c>
      <c r="B26" s="259" t="s">
        <v>2369</v>
      </c>
      <c r="C26" s="282">
        <f ca="1">ROUND(IF('数据-取费表'!B22&lt;=1,F21*F22*'数据-取费表'!B22/2,F21*(POWER((1+F22),'数据-取费表'!B22/2)-1)),4)</f>
        <v>1.1000000000000001E-3</v>
      </c>
      <c r="D26" s="282"/>
      <c r="E26" s="285"/>
      <c r="F26" s="283"/>
      <c r="G26" s="287"/>
    </row>
    <row r="27" spans="1:7" s="258" customFormat="1" ht="24.75">
      <c r="A27" s="299" t="s">
        <v>2370</v>
      </c>
      <c r="B27" s="288" t="s">
        <v>2371</v>
      </c>
      <c r="C27" s="289">
        <f ca="1">C28</f>
        <v>8171409</v>
      </c>
      <c r="D27" s="279">
        <f ca="1">C29</f>
        <v>3.0000000000000001E-3</v>
      </c>
      <c r="E27" s="280" t="s">
        <v>2372</v>
      </c>
      <c r="F27" s="290">
        <f ca="1">IF(B1="",'数据-取费表'!Q16,INDIRECT("'数据-取费表'!q"&amp;$G$1))</f>
        <v>0.1</v>
      </c>
      <c r="G27" s="291" t="s">
        <v>2373</v>
      </c>
    </row>
    <row r="28" spans="1:7" s="258" customFormat="1" ht="13.5" customHeight="1">
      <c r="A28" s="951" t="s">
        <v>791</v>
      </c>
      <c r="B28" s="292" t="s">
        <v>2374</v>
      </c>
      <c r="C28" s="293">
        <f ca="1">ROUND((C5+C19+C20)*F27,0)</f>
        <v>8171409</v>
      </c>
      <c r="D28" s="279"/>
      <c r="E28" s="280"/>
      <c r="F28" s="290"/>
      <c r="G28" s="291"/>
    </row>
    <row r="29" spans="1:7" s="258" customFormat="1" ht="13.5" customHeight="1">
      <c r="A29" s="951" t="s">
        <v>792</v>
      </c>
      <c r="B29" s="292" t="s">
        <v>2375</v>
      </c>
      <c r="C29" s="282">
        <f ca="1">ROUND(C21*F27,4)</f>
        <v>3.0000000000000001E-3</v>
      </c>
      <c r="D29" s="279"/>
      <c r="E29" s="280"/>
      <c r="F29" s="290"/>
      <c r="G29" s="291"/>
    </row>
    <row r="30" spans="1:7" s="258" customFormat="1" ht="13.5" customHeight="1">
      <c r="A30" s="299" t="s">
        <v>2376</v>
      </c>
      <c r="B30" s="254" t="s">
        <v>2377</v>
      </c>
      <c r="C30" s="279">
        <f>ROUND(F30/(1+'数据-取费表'!C42),4)</f>
        <v>5.33E-2</v>
      </c>
      <c r="D30" s="280" t="s">
        <v>2372</v>
      </c>
      <c r="E30" s="285"/>
      <c r="F30" s="281">
        <f>'数据-取费表'!B41</f>
        <v>5.6000000000000001E-2</v>
      </c>
      <c r="G30" s="278" t="s">
        <v>2378</v>
      </c>
    </row>
    <row r="31" spans="1:7" ht="16.5" customHeight="1">
      <c r="A31" s="253">
        <v>1</v>
      </c>
      <c r="B31" s="254" t="s">
        <v>2379</v>
      </c>
      <c r="C31" s="255">
        <f ca="1">ROUND((C5+C19+C20+C22+C27)/(1-C21-D22-D27-C30),0)</f>
        <v>104884369</v>
      </c>
      <c r="D31" s="274"/>
      <c r="E31" s="255"/>
      <c r="F31" s="294"/>
      <c r="G31" s="278" t="s">
        <v>2380</v>
      </c>
    </row>
    <row r="32" spans="1:7" s="252" customFormat="1" ht="15.75">
      <c r="A32" s="296" t="s">
        <v>2447</v>
      </c>
      <c r="B32" s="297"/>
      <c r="C32" s="297"/>
      <c r="D32" s="297"/>
      <c r="E32" s="297"/>
      <c r="F32" s="297"/>
      <c r="G32" s="298"/>
    </row>
    <row r="33" spans="1:7" s="258" customFormat="1" ht="13.5" customHeight="1">
      <c r="A33" s="299" t="s">
        <v>782</v>
      </c>
      <c r="B33" s="254" t="s">
        <v>2448</v>
      </c>
      <c r="C33" s="300">
        <f ca="1">SUM(C34:C38)</f>
        <v>341199296</v>
      </c>
      <c r="D33" s="276"/>
      <c r="E33" s="256"/>
      <c r="F33" s="285"/>
      <c r="G33" s="278"/>
    </row>
    <row r="34" spans="1:7" s="302" customFormat="1" ht="13.5" customHeight="1">
      <c r="A34" s="951" t="s">
        <v>791</v>
      </c>
      <c r="B34" s="259" t="s">
        <v>2383</v>
      </c>
      <c r="C34" s="264">
        <f ca="1">ROUND(IF(B1="",SUMPRODUCT('数据-取费表'!K6:K14,'数据-取费表'!L6:L14),INDIRECT("'数据-取费表'!l"&amp;$G$1)*INDIRECT("'数据-取费表'!k"&amp;$G$1)+'数据-取费表'!L14*INDIRECT("'数据-取费表'!S"&amp;$G$1)),0)</f>
        <v>289560930</v>
      </c>
      <c r="D34" s="261"/>
      <c r="E34" s="264"/>
      <c r="F34" s="301"/>
      <c r="G34" s="263"/>
    </row>
    <row r="35" spans="1:7" ht="13.5" customHeight="1">
      <c r="A35" s="951" t="s">
        <v>796</v>
      </c>
      <c r="B35" s="259" t="s">
        <v>2385</v>
      </c>
      <c r="C35" s="264">
        <f ca="1">ROUND(C34*F35,0)</f>
        <v>8686828</v>
      </c>
      <c r="D35" s="264"/>
      <c r="E35" s="264"/>
      <c r="F35" s="303">
        <f>'数据-取费表'!B33</f>
        <v>0.03</v>
      </c>
      <c r="G35" s="263" t="s">
        <v>2386</v>
      </c>
    </row>
    <row r="36" spans="1:7" ht="24">
      <c r="A36" s="951" t="s">
        <v>797</v>
      </c>
      <c r="B36" s="259" t="s">
        <v>2387</v>
      </c>
      <c r="C36" s="264">
        <f ca="1">ROUND(IF(B1="",SUM('数据-取费表'!AP6:AP13)*F36,IF(INDIRECT("'数据-取费表'!c"&amp;$G$1)="住宅",INDIRECT("'数据-取费表'!k"&amp;$G$1)*INDIRECT("'数据-取费表'!l"&amp;$G$1)*F36,0)),0)</f>
        <v>0</v>
      </c>
      <c r="D36" s="264"/>
      <c r="E36" s="264"/>
      <c r="F36" s="303">
        <f>'数据-取费表'!B34</f>
        <v>0</v>
      </c>
      <c r="G36" s="304" t="s">
        <v>2388</v>
      </c>
    </row>
    <row r="37" spans="1:7" s="302" customFormat="1" ht="13.5" customHeight="1">
      <c r="A37" s="951" t="s">
        <v>798</v>
      </c>
      <c r="B37" s="259" t="s">
        <v>2389</v>
      </c>
      <c r="C37" s="293">
        <f ca="1">ROUND(E37*D37,0)</f>
        <v>38608124</v>
      </c>
      <c r="D37" s="261">
        <f ca="1">D19</f>
        <v>193040.62000000002</v>
      </c>
      <c r="E37" s="293">
        <f>'数据-取费表'!B35</f>
        <v>200</v>
      </c>
      <c r="F37" s="303"/>
      <c r="G37" s="305"/>
    </row>
    <row r="38" spans="1:7" ht="13.5" customHeight="1">
      <c r="A38" s="951" t="s">
        <v>799</v>
      </c>
      <c r="B38" s="259" t="s">
        <v>2391</v>
      </c>
      <c r="C38" s="264">
        <f ca="1">ROUND(C34*F38,0)</f>
        <v>4343414</v>
      </c>
      <c r="D38" s="264"/>
      <c r="E38" s="264"/>
      <c r="F38" s="303">
        <f>'数据-取费表'!B36</f>
        <v>1.4999999999999999E-2</v>
      </c>
      <c r="G38" s="263" t="s">
        <v>2386</v>
      </c>
    </row>
    <row r="39" spans="1:7" s="258" customFormat="1" ht="13.5" customHeight="1">
      <c r="A39" s="299" t="s">
        <v>2392</v>
      </c>
      <c r="B39" s="254" t="s">
        <v>2393</v>
      </c>
      <c r="C39" s="276">
        <f ca="1">ROUND(C33*F20,0)</f>
        <v>6823986</v>
      </c>
      <c r="D39" s="276"/>
      <c r="E39" s="276"/>
      <c r="F39" s="277"/>
      <c r="G39" s="278" t="s">
        <v>2394</v>
      </c>
    </row>
    <row r="40" spans="1:7" s="258" customFormat="1" ht="13.5" customHeight="1">
      <c r="A40" s="299" t="s">
        <v>2395</v>
      </c>
      <c r="B40" s="254" t="s">
        <v>2396</v>
      </c>
      <c r="C40" s="1728">
        <f>F21</f>
        <v>0.03</v>
      </c>
      <c r="D40" s="280" t="s">
        <v>2397</v>
      </c>
      <c r="E40" s="276"/>
      <c r="F40" s="277"/>
      <c r="G40" s="278" t="s">
        <v>2398</v>
      </c>
    </row>
    <row r="41" spans="1:7" s="258" customFormat="1" ht="13.5" customHeight="1">
      <c r="A41" s="299" t="s">
        <v>2399</v>
      </c>
      <c r="B41" s="254" t="s">
        <v>2400</v>
      </c>
      <c r="C41" s="276">
        <f ca="1">ROUND(SUM(C42:C43),0)</f>
        <v>12326134</v>
      </c>
      <c r="D41" s="279">
        <f ca="1">C44</f>
        <v>1.1000000000000001E-3</v>
      </c>
      <c r="E41" s="280" t="s">
        <v>2397</v>
      </c>
      <c r="F41" s="281"/>
      <c r="G41" s="278" t="str">
        <f>IF('数据-取费表'!B22&lt;=1,"单利计息","复利计息")</f>
        <v>复利计息</v>
      </c>
    </row>
    <row r="42" spans="1:7" ht="13.5" customHeight="1">
      <c r="A42" s="951" t="s">
        <v>791</v>
      </c>
      <c r="B42" s="259" t="s">
        <v>2401</v>
      </c>
      <c r="C42" s="282">
        <f ca="1">ROUND(IF('数据-取费表'!B22&lt;=1,C33*F22*'数据-取费表'!B20/2,C33*(POWER((1+F22),'数据-取费表'!B20/2)-1)),0)</f>
        <v>12084445</v>
      </c>
      <c r="D42" s="282"/>
      <c r="E42" s="282"/>
      <c r="F42" s="283"/>
      <c r="G42" s="3342" t="s">
        <v>2449</v>
      </c>
    </row>
    <row r="43" spans="1:7" ht="13.5" customHeight="1">
      <c r="A43" s="951" t="s">
        <v>792</v>
      </c>
      <c r="B43" s="259" t="s">
        <v>2403</v>
      </c>
      <c r="C43" s="282">
        <f ca="1">ROUND(IF('数据-取费表'!B22&lt;=1,C39*F22*'数据-取费表'!B20/2,C39*(POWER((1+F22),'数据-取费表'!B20/2)-1)),0)</f>
        <v>241689</v>
      </c>
      <c r="D43" s="282"/>
      <c r="E43" s="282"/>
      <c r="F43" s="283"/>
      <c r="G43" s="3343"/>
    </row>
    <row r="44" spans="1:7" ht="13.5" customHeight="1">
      <c r="A44" s="951" t="s">
        <v>793</v>
      </c>
      <c r="B44" s="259" t="s">
        <v>2404</v>
      </c>
      <c r="C44" s="282">
        <f ca="1">ROUND(IF('数据-取费表'!B22&lt;=1,C40*F22*'数据-取费表'!B20/2,C40*(POWER((1+F22),'数据-取费表'!B20/2)-1)),4)</f>
        <v>1.1000000000000001E-3</v>
      </c>
      <c r="D44" s="282"/>
      <c r="E44" s="282"/>
      <c r="F44" s="283"/>
      <c r="G44" s="3344"/>
    </row>
    <row r="45" spans="1:7" s="258" customFormat="1" ht="13.5" customHeight="1">
      <c r="A45" s="299" t="s">
        <v>2405</v>
      </c>
      <c r="B45" s="288" t="s">
        <v>2371</v>
      </c>
      <c r="C45" s="289">
        <f ca="1">C46</f>
        <v>34802328</v>
      </c>
      <c r="D45" s="279">
        <f ca="1">C47</f>
        <v>3.0000000000000001E-3</v>
      </c>
      <c r="E45" s="280" t="s">
        <v>2397</v>
      </c>
      <c r="F45" s="290"/>
      <c r="G45" s="291" t="s">
        <v>2406</v>
      </c>
    </row>
    <row r="46" spans="1:7" s="258" customFormat="1" ht="13.5" customHeight="1">
      <c r="A46" s="951" t="s">
        <v>791</v>
      </c>
      <c r="B46" s="292" t="s">
        <v>2407</v>
      </c>
      <c r="C46" s="293">
        <f ca="1">ROUND((C33+C39)*F27,0)</f>
        <v>34802328</v>
      </c>
      <c r="D46" s="307"/>
      <c r="E46" s="280"/>
      <c r="F46" s="290"/>
      <c r="G46" s="291"/>
    </row>
    <row r="47" spans="1:7" s="258" customFormat="1" ht="13.5" customHeight="1">
      <c r="A47" s="951" t="s">
        <v>792</v>
      </c>
      <c r="B47" s="292" t="s">
        <v>2408</v>
      </c>
      <c r="C47" s="282">
        <f ca="1">ROUND(C40*F27,4)</f>
        <v>3.0000000000000001E-3</v>
      </c>
      <c r="D47" s="307"/>
      <c r="E47" s="280"/>
      <c r="F47" s="290"/>
      <c r="G47" s="291"/>
    </row>
    <row r="48" spans="1:7" s="258" customFormat="1" ht="13.5" customHeight="1">
      <c r="A48" s="299" t="s">
        <v>2370</v>
      </c>
      <c r="B48" s="254" t="s">
        <v>2409</v>
      </c>
      <c r="C48" s="306">
        <f>ROUND(F30/(1+'数据-取费表'!C42),4)</f>
        <v>5.33E-2</v>
      </c>
      <c r="D48" s="280" t="s">
        <v>2397</v>
      </c>
      <c r="E48" s="276"/>
      <c r="F48" s="281"/>
      <c r="G48" s="278" t="s">
        <v>2410</v>
      </c>
    </row>
    <row r="49" spans="1:7" ht="16.5" customHeight="1">
      <c r="A49" s="299" t="s">
        <v>2376</v>
      </c>
      <c r="B49" s="254" t="s">
        <v>2450</v>
      </c>
      <c r="C49" s="276">
        <f ca="1">ROUND((C33+C39+C41+C45)/(1-C40-D41-D45-C48),0)</f>
        <v>432995556</v>
      </c>
      <c r="D49" s="276"/>
      <c r="E49" s="276"/>
      <c r="F49" s="308"/>
      <c r="G49" s="278" t="s">
        <v>2412</v>
      </c>
    </row>
    <row r="50" spans="1:7" s="302" customFormat="1">
      <c r="A50" s="299" t="s">
        <v>2413</v>
      </c>
      <c r="B50" s="254" t="s">
        <v>2414</v>
      </c>
      <c r="C50" s="276"/>
      <c r="D50" s="276"/>
      <c r="E50" s="276"/>
      <c r="F50" s="308">
        <f>IF('数据-取费表'!B24=0,'数据-取费表'!N16,1)</f>
        <v>0.6</v>
      </c>
      <c r="G50" s="291"/>
    </row>
    <row r="51" spans="1:7" ht="16.5" customHeight="1">
      <c r="A51" s="299" t="s">
        <v>2416</v>
      </c>
      <c r="B51" s="254" t="s">
        <v>2451</v>
      </c>
      <c r="C51" s="276">
        <f ca="1">ROUND(C49*F50,0)</f>
        <v>259797334</v>
      </c>
      <c r="D51" s="276"/>
      <c r="E51" s="276"/>
      <c r="F51" s="308"/>
      <c r="G51" s="278" t="s">
        <v>2418</v>
      </c>
    </row>
    <row r="52" spans="1:7" s="252" customFormat="1" ht="16.5" thickBot="1">
      <c r="A52" s="309" t="s">
        <v>2419</v>
      </c>
      <c r="B52" s="310"/>
      <c r="C52" s="311">
        <f ca="1">C31+C51</f>
        <v>364681703</v>
      </c>
      <c r="D52" s="310"/>
      <c r="E52" s="310"/>
      <c r="F52" s="310"/>
      <c r="G52" s="312"/>
    </row>
    <row r="55" spans="1:7" ht="15">
      <c r="B55" s="314" t="s">
        <v>2420</v>
      </c>
      <c r="C55" s="315"/>
    </row>
    <row r="56" spans="1:7">
      <c r="B56" s="317" t="s">
        <v>1509</v>
      </c>
      <c r="C56" s="319">
        <f ca="1">1-C57</f>
        <v>0.28800000000000003</v>
      </c>
    </row>
    <row r="57" spans="1:7">
      <c r="B57" s="317" t="s">
        <v>1510</v>
      </c>
      <c r="C57" s="318">
        <f ca="1">ROUND(C51/C52,3)</f>
        <v>0.71199999999999997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2452</v>
      </c>
      <c r="B1" s="1581"/>
      <c r="C1" s="1582"/>
      <c r="D1" s="1580"/>
      <c r="E1" s="320"/>
      <c r="F1" s="320"/>
      <c r="G1" s="1581"/>
      <c r="H1" s="320"/>
      <c r="I1" s="320"/>
      <c r="J1" s="320"/>
      <c r="K1" s="320">
        <f>MATCH(C1,'数据-取费表'!A6:A16,0)+5</f>
        <v>7</v>
      </c>
    </row>
    <row r="2" spans="1:33" ht="18" customHeight="1">
      <c r="A2" s="245" t="s">
        <v>2320</v>
      </c>
      <c r="B2" s="248">
        <f ca="1">C32</f>
        <v>0</v>
      </c>
      <c r="C2" s="320" t="s">
        <v>2453</v>
      </c>
      <c r="D2" s="320"/>
      <c r="E2" s="320"/>
      <c r="F2" s="320"/>
      <c r="G2" s="320"/>
      <c r="H2" s="320"/>
      <c r="I2" s="320"/>
      <c r="J2" s="320"/>
      <c r="K2" s="320"/>
    </row>
    <row r="3" spans="1:33" ht="18" customHeight="1" thickBot="1">
      <c r="A3" s="247" t="s">
        <v>2322</v>
      </c>
      <c r="B3" s="248">
        <f ca="1">ROUND(B2*10000/IF(C1="",'数据-汇总表'!E3,INDIRECT("'数据-取费表'!K"&amp;$K$1)),0)</f>
        <v>0</v>
      </c>
      <c r="C3" s="320" t="s">
        <v>2454</v>
      </c>
      <c r="D3" s="320"/>
      <c r="E3" s="320"/>
      <c r="F3" s="320"/>
      <c r="G3" s="320"/>
      <c r="H3" s="320"/>
      <c r="I3" s="320"/>
      <c r="J3" s="320"/>
      <c r="K3" s="320"/>
    </row>
    <row r="4" spans="1:33" s="956" customFormat="1" ht="16.5" customHeight="1">
      <c r="A4" s="953" t="s">
        <v>2455</v>
      </c>
      <c r="B4" s="954"/>
      <c r="C4" s="996">
        <f>SUM(C8:K8)</f>
        <v>0</v>
      </c>
      <c r="D4" s="954"/>
      <c r="E4" s="954"/>
      <c r="F4" s="954"/>
      <c r="G4" s="954"/>
      <c r="H4" s="954"/>
      <c r="I4" s="954"/>
      <c r="J4" s="954"/>
      <c r="K4" s="955"/>
    </row>
    <row r="5" spans="1:33" s="960" customFormat="1" ht="24.75">
      <c r="A5" s="957" t="s">
        <v>2456</v>
      </c>
      <c r="B5" s="958" t="s">
        <v>2457</v>
      </c>
      <c r="C5" s="2553" t="s">
        <v>2458</v>
      </c>
      <c r="D5" s="2553" t="s">
        <v>2459</v>
      </c>
      <c r="E5" s="2553" t="s">
        <v>2460</v>
      </c>
      <c r="F5" s="2553"/>
      <c r="G5" s="2553"/>
      <c r="H5" s="2553"/>
      <c r="I5" s="2553"/>
      <c r="J5" s="2553"/>
      <c r="K5" s="2553"/>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2461</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2462</v>
      </c>
      <c r="B7" s="140" t="s">
        <v>2463</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4" t="s">
        <v>2464</v>
      </c>
      <c r="B8" s="177" t="s">
        <v>2465</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2466</v>
      </c>
      <c r="B9" s="954"/>
      <c r="C9" s="954"/>
      <c r="D9" s="954"/>
      <c r="E9" s="954"/>
      <c r="F9" s="954"/>
      <c r="G9" s="954"/>
      <c r="H9" s="954"/>
      <c r="I9" s="954"/>
      <c r="J9" s="954"/>
      <c r="K9" s="955"/>
    </row>
    <row r="10" spans="1:33" s="970" customFormat="1" ht="13.5" customHeight="1">
      <c r="A10" s="957" t="s">
        <v>2467</v>
      </c>
      <c r="B10" s="8" t="s">
        <v>2468</v>
      </c>
      <c r="C10" s="966" t="s">
        <v>2469</v>
      </c>
      <c r="D10" s="967" t="s">
        <v>2470</v>
      </c>
      <c r="E10" s="967" t="s">
        <v>2471</v>
      </c>
      <c r="F10" s="967" t="s">
        <v>2472</v>
      </c>
      <c r="G10" s="8"/>
      <c r="H10" s="968"/>
      <c r="I10" s="968"/>
      <c r="J10" s="968"/>
      <c r="K10" s="969"/>
    </row>
    <row r="11" spans="1:33" s="975" customFormat="1" ht="13.5" customHeight="1">
      <c r="A11" s="971" t="s">
        <v>1330</v>
      </c>
      <c r="B11" s="972" t="s">
        <v>2473</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2474</v>
      </c>
      <c r="C12" s="24">
        <f ca="1">ROUND(C11*F12,0)</f>
        <v>0</v>
      </c>
      <c r="D12" s="973"/>
      <c r="E12" s="375"/>
      <c r="F12" s="976">
        <f>'数据-取费表'!B33</f>
        <v>0.03</v>
      </c>
      <c r="G12" s="8" t="s">
        <v>2475</v>
      </c>
      <c r="H12" s="968"/>
      <c r="I12" s="968"/>
      <c r="J12" s="968"/>
      <c r="K12" s="969"/>
    </row>
    <row r="13" spans="1:33" s="975" customFormat="1" ht="13.5" customHeight="1">
      <c r="A13" s="971" t="s">
        <v>1332</v>
      </c>
      <c r="B13" s="972" t="s">
        <v>2476</v>
      </c>
      <c r="C13" s="24">
        <f ca="1">ROUND(IF(C1="",SUMIF('数据-取费表'!C:C,"住宅",'数据-取费表'!P:P)*F13,IF(INDIRECT("'数据-取费表'!c"&amp;$K$1)="住宅",INDIRECT("'数据-取费表'!P"&amp;$K$1)*F13,0)),0)</f>
        <v>0</v>
      </c>
      <c r="D13" s="1033"/>
      <c r="E13" s="375"/>
      <c r="F13" s="976">
        <f>'数据-取费表'!B34</f>
        <v>0</v>
      </c>
      <c r="G13" s="8" t="s">
        <v>2477</v>
      </c>
      <c r="H13" s="968"/>
      <c r="I13" s="968"/>
      <c r="J13" s="968"/>
      <c r="K13" s="969"/>
    </row>
    <row r="14" spans="1:33" s="977" customFormat="1" ht="13.5" customHeight="1">
      <c r="A14" s="971" t="s">
        <v>1333</v>
      </c>
      <c r="B14" s="972" t="s">
        <v>2478</v>
      </c>
      <c r="C14" s="24">
        <f ca="1">ROUND(D14*E14*F11/10000,0)</f>
        <v>0</v>
      </c>
      <c r="D14" s="1033">
        <f ca="1">IF(C1="",'数据-汇总表'!E3,INDIRECT("'数据-取费表'!K"&amp;$K$1)+INDIRECT("'数据-取费表'!S"&amp;$K$1))</f>
        <v>193040.62000000002</v>
      </c>
      <c r="E14" s="24">
        <f>'数据-取费表'!B35</f>
        <v>200</v>
      </c>
      <c r="F14" s="976"/>
      <c r="G14" s="8" t="s">
        <v>2479</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2480</v>
      </c>
      <c r="C15" s="983">
        <f ca="1">ROUND(C11*F15,0)</f>
        <v>0</v>
      </c>
      <c r="D15" s="978"/>
      <c r="E15" s="983"/>
      <c r="F15" s="984">
        <f>'数据-取费表'!B36</f>
        <v>1.4999999999999999E-2</v>
      </c>
      <c r="G15" s="140" t="s">
        <v>2481</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2482</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2483</v>
      </c>
      <c r="C17" s="24">
        <f ca="1">ROUND(D17*E17/10000,0)</f>
        <v>0</v>
      </c>
      <c r="D17" s="1033">
        <f ca="1">D14</f>
        <v>193040.62000000002</v>
      </c>
      <c r="E17" s="24">
        <f>'数据-取费表'!B32</f>
        <v>0</v>
      </c>
      <c r="F17" s="978"/>
      <c r="G17" s="140" t="s">
        <v>2484</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2485</v>
      </c>
      <c r="C18" s="24">
        <f ca="1">C19+C20-IF(C1="",'数据-取费表'!B29,IF(G18="已全部缴纳",C19+C20,H18))</f>
        <v>0</v>
      </c>
      <c r="D18" s="1033"/>
      <c r="E18" s="24"/>
      <c r="F18" s="976"/>
      <c r="G18" s="2555"/>
      <c r="H18" s="1577"/>
      <c r="I18" s="2556" t="s">
        <v>2486</v>
      </c>
      <c r="J18" s="979"/>
      <c r="K18" s="980"/>
    </row>
    <row r="19" spans="1:33" s="975" customFormat="1" ht="13.5" customHeight="1">
      <c r="A19" s="971" t="s">
        <v>805</v>
      </c>
      <c r="B19" s="972" t="s">
        <v>2487</v>
      </c>
      <c r="C19" s="24">
        <f ca="1">ROUND(D19*E19/10000,0)</f>
        <v>0</v>
      </c>
      <c r="D19" s="1033">
        <f ca="1">IF(C1="",'数据-汇总表'!E5,IF(INDIRECT("'数据-取费表'!c"&amp;$K$1)="住宅",INDIRECT("'数据-取费表'!k"&amp;$K$1),0))</f>
        <v>0</v>
      </c>
      <c r="E19" s="24">
        <f>'数据-取费表'!B27</f>
        <v>165</v>
      </c>
      <c r="F19" s="976"/>
      <c r="G19" s="15"/>
      <c r="H19" s="1579"/>
      <c r="I19" s="981"/>
      <c r="J19" s="981"/>
      <c r="K19" s="982"/>
    </row>
    <row r="20" spans="1:33" s="975" customFormat="1" ht="13.5" customHeight="1">
      <c r="A20" s="971" t="s">
        <v>806</v>
      </c>
      <c r="B20" s="972" t="s">
        <v>2488</v>
      </c>
      <c r="C20" s="24">
        <f ca="1">ROUND(D20*E20/10000,0)</f>
        <v>4150</v>
      </c>
      <c r="D20" s="1033">
        <f ca="1">IF(C1="",'数据-汇总表'!E6,IF(INDIRECT("'数据-取费表'!c"&amp;$K$1)="住宅",INDIRECT("'数据-取费表'!s"&amp;$K$1),INDIRECT("'数据-取费表'!k"&amp;$K$1)+INDIRECT("'数据-取费表'!s"&amp;$K$1)))</f>
        <v>193040.62000000002</v>
      </c>
      <c r="E20" s="24">
        <f>'数据-取费表'!B28</f>
        <v>215</v>
      </c>
      <c r="F20" s="976"/>
      <c r="G20" s="15"/>
      <c r="H20" s="981"/>
      <c r="I20" s="981"/>
      <c r="J20" s="981"/>
      <c r="K20" s="982"/>
    </row>
    <row r="21" spans="1:33" s="975" customFormat="1" ht="13.5" customHeight="1">
      <c r="A21" s="961" t="s">
        <v>802</v>
      </c>
      <c r="B21" s="985" t="s">
        <v>2489</v>
      </c>
      <c r="C21" s="986">
        <f ca="1">C16+C17+C18</f>
        <v>0</v>
      </c>
      <c r="D21" s="987"/>
      <c r="E21" s="325"/>
      <c r="F21" s="325"/>
      <c r="G21" s="140" t="s">
        <v>2490</v>
      </c>
      <c r="H21" s="979"/>
      <c r="I21" s="979"/>
      <c r="J21" s="979"/>
      <c r="K21" s="980"/>
    </row>
    <row r="22" spans="1:33" s="975" customFormat="1" ht="13.5" customHeight="1">
      <c r="A22" s="961" t="s">
        <v>2462</v>
      </c>
      <c r="B22" s="985" t="s">
        <v>2491</v>
      </c>
      <c r="C22" s="986">
        <f ca="1">ROUND(C21*F22,0)</f>
        <v>0</v>
      </c>
      <c r="D22" s="325"/>
      <c r="E22" s="325"/>
      <c r="F22" s="988">
        <f>'数据-取费表'!B37</f>
        <v>0.02</v>
      </c>
      <c r="G22" s="8" t="s">
        <v>2492</v>
      </c>
      <c r="H22" s="968"/>
      <c r="I22" s="968"/>
      <c r="J22" s="968"/>
      <c r="K22" s="969"/>
    </row>
    <row r="23" spans="1:33" s="975" customFormat="1" ht="13.5" customHeight="1">
      <c r="A23" s="961" t="s">
        <v>2464</v>
      </c>
      <c r="B23" s="985" t="s">
        <v>2493</v>
      </c>
      <c r="C23" s="986">
        <f ca="1">ROUND(C4*F23*F11,0)</f>
        <v>0</v>
      </c>
      <c r="D23" s="325"/>
      <c r="E23" s="325"/>
      <c r="F23" s="988">
        <f>'数据-取费表'!B38</f>
        <v>0.03</v>
      </c>
      <c r="G23" s="8" t="s">
        <v>2494</v>
      </c>
      <c r="H23" s="968"/>
      <c r="I23" s="968"/>
      <c r="J23" s="968"/>
      <c r="K23" s="969"/>
    </row>
    <row r="24" spans="1:33" s="975" customFormat="1" ht="13.5" customHeight="1">
      <c r="A24" s="961" t="s">
        <v>2495</v>
      </c>
      <c r="B24" s="985" t="s">
        <v>2496</v>
      </c>
      <c r="C24" s="324">
        <f>ROUND(F24/(1+'数据-取费表'!C42),4)</f>
        <v>2.9000000000000001E-2</v>
      </c>
      <c r="D24" s="325" t="s">
        <v>15</v>
      </c>
      <c r="E24" s="325"/>
      <c r="F24" s="988">
        <f>'数据-取费表'!B48+'数据-取费表'!B49</f>
        <v>3.0499999999999999E-2</v>
      </c>
      <c r="G24" s="8" t="s">
        <v>2497</v>
      </c>
      <c r="H24" s="990"/>
      <c r="I24" s="990"/>
      <c r="J24" s="990"/>
      <c r="K24" s="991"/>
    </row>
    <row r="25" spans="1:33" s="975" customFormat="1" ht="13.5" customHeight="1">
      <c r="A25" s="961" t="s">
        <v>2498</v>
      </c>
      <c r="B25" s="987" t="s">
        <v>2499</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2500</v>
      </c>
      <c r="C26" s="1357">
        <f ca="1">ROUND(IF('数据-取费表'!B22&lt;=1,(1+C24)*F25*'数据-取费表'!B24,(1+C24)*(POWER((1+F25),'数据-取费表'!B24)-1)),4)</f>
        <v>0</v>
      </c>
      <c r="D26" s="328"/>
      <c r="E26" s="329"/>
      <c r="F26" s="330"/>
      <c r="G26" s="2557"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2501</v>
      </c>
      <c r="C27" s="1358">
        <f ca="1">ROUND(IF('数据-取费表'!B22&lt;=1,(C21+C22+C23)*F25*'数据-取费表'!B24/2,(C21+C22+C23)*(POWER((1+F25),'数据-取费表'!B24/2)-1)),0)</f>
        <v>0</v>
      </c>
      <c r="D27" s="328"/>
      <c r="E27" s="329"/>
      <c r="F27" s="330"/>
      <c r="G27" s="2557" t="str">
        <f>IF('数据-取费表'!B22&lt;=1,"（1）-（3）项×年利率×建设期÷2","（1）-（3）项×((1+年利率)^(建设期÷2)-1)")</f>
        <v>（1）-（3）项×((1+年利率)^(建设期÷2)-1)</v>
      </c>
      <c r="H27" s="979"/>
      <c r="I27" s="979"/>
      <c r="J27" s="979"/>
      <c r="K27" s="980"/>
    </row>
    <row r="28" spans="1:33" s="333" customFormat="1" ht="13.5" customHeight="1">
      <c r="A28" s="961" t="s">
        <v>2502</v>
      </c>
      <c r="B28" s="2558" t="s">
        <v>2503</v>
      </c>
      <c r="C28" s="331">
        <f ca="1">C30</f>
        <v>0</v>
      </c>
      <c r="D28" s="324">
        <f ca="1">C29</f>
        <v>0</v>
      </c>
      <c r="E28" s="326" t="s">
        <v>15</v>
      </c>
      <c r="F28" s="332">
        <f ca="1">IF(C1="",'数据-取费表'!Q16,INDIRECT("'数据-取费表'!q"&amp;$K$1))</f>
        <v>0.1</v>
      </c>
      <c r="G28" s="989"/>
      <c r="H28" s="990"/>
      <c r="I28" s="990"/>
      <c r="J28" s="990"/>
      <c r="K28" s="991"/>
    </row>
    <row r="29" spans="1:33" s="335" customFormat="1" ht="13.5" customHeight="1">
      <c r="A29" s="971" t="s">
        <v>803</v>
      </c>
      <c r="B29" s="994" t="s">
        <v>2504</v>
      </c>
      <c r="C29" s="328">
        <f ca="1">ROUND((1+C24)*F28*'数据-取费表'!B24/'数据-取费表'!B20,4)</f>
        <v>0</v>
      </c>
      <c r="D29" s="328"/>
      <c r="E29" s="329"/>
      <c r="F29" s="334"/>
      <c r="G29" s="140" t="s">
        <v>2505</v>
      </c>
      <c r="H29" s="979"/>
      <c r="I29" s="979"/>
      <c r="J29" s="979"/>
      <c r="K29" s="980"/>
    </row>
    <row r="30" spans="1:33" s="335" customFormat="1" ht="13.5" customHeight="1">
      <c r="A30" s="971" t="s">
        <v>804</v>
      </c>
      <c r="B30" s="994" t="s">
        <v>2506</v>
      </c>
      <c r="C30" s="336">
        <f ca="1">ROUND((C21+C22+C23)*F28,0)</f>
        <v>0</v>
      </c>
      <c r="D30" s="328"/>
      <c r="E30" s="329"/>
      <c r="F30" s="334"/>
      <c r="G30" s="140"/>
      <c r="H30" s="979"/>
      <c r="I30" s="979"/>
      <c r="J30" s="979"/>
      <c r="K30" s="980"/>
    </row>
    <row r="31" spans="1:33" s="975" customFormat="1" ht="13.5" customHeight="1" thickBot="1">
      <c r="A31" s="2559" t="s">
        <v>2507</v>
      </c>
      <c r="B31" s="1005" t="s">
        <v>2508</v>
      </c>
      <c r="C31" s="1006">
        <f>ROUND(C4*F31/(1+'数据-取费表'!C42),0)</f>
        <v>0</v>
      </c>
      <c r="D31" s="1007"/>
      <c r="E31" s="1008"/>
      <c r="F31" s="1009">
        <f>'数据-取费表'!B41</f>
        <v>5.6000000000000001E-2</v>
      </c>
      <c r="G31" s="1010" t="s">
        <v>2509</v>
      </c>
      <c r="H31" s="1011"/>
      <c r="I31" s="1011"/>
      <c r="J31" s="1011"/>
      <c r="K31" s="1012"/>
    </row>
    <row r="32" spans="1:33" s="970" customFormat="1" ht="13.5" customHeight="1" thickBot="1">
      <c r="A32" s="1000" t="s">
        <v>2510</v>
      </c>
      <c r="B32" s="1001"/>
      <c r="C32" s="1002">
        <f ca="1">ROUND((C4-C21-C22-C23-C25-C28-C31)/(1+C24+D25+D28),0)</f>
        <v>0</v>
      </c>
      <c r="D32" s="1001"/>
      <c r="E32" s="1001"/>
      <c r="F32" s="1001"/>
      <c r="G32" s="1003" t="s">
        <v>2511</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K12" sqref="K12"/>
    </sheetView>
  </sheetViews>
  <sheetFormatPr defaultColWidth="9" defaultRowHeight="14.25"/>
  <cols>
    <col min="1" max="1" width="14.375" style="403" customWidth="1"/>
    <col min="2" max="2" width="15.75" style="403" customWidth="1"/>
    <col min="3" max="3" width="24.625" style="403" customWidth="1"/>
    <col min="4" max="4" width="8.625" style="403" customWidth="1"/>
    <col min="5" max="5" width="24.625" style="403" customWidth="1"/>
    <col min="6" max="6" width="8.625" style="403" customWidth="1"/>
    <col min="7" max="7" width="24.625" style="403" customWidth="1"/>
    <col min="8" max="8" width="8.625" style="403" customWidth="1"/>
    <col min="9" max="9" width="24.625" style="403" customWidth="1"/>
    <col min="10" max="10" width="8.625" style="403" customWidth="1"/>
    <col min="11" max="11" width="8.6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2737</v>
      </c>
      <c r="B1" s="395"/>
      <c r="C1" s="396" t="s">
        <v>2789</v>
      </c>
      <c r="D1" s="755"/>
      <c r="E1" s="755"/>
      <c r="F1" s="754" t="s">
        <v>2636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2320</v>
      </c>
      <c r="B2" s="671">
        <f>F61</f>
        <v>51993</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2322</v>
      </c>
      <c r="B3" s="609">
        <f>ROUND(IF(D3="",B2*10000/'数据-汇总表'!E3,B2*10000/D3),0)</f>
        <v>2693</v>
      </c>
      <c r="C3" s="247" t="s">
        <v>2739</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2638</v>
      </c>
      <c r="B4" s="402"/>
      <c r="C4" s="3358" t="s">
        <v>2639</v>
      </c>
      <c r="D4" s="3359"/>
      <c r="E4" s="3360" t="s">
        <v>2640</v>
      </c>
      <c r="F4" s="3361"/>
      <c r="G4" s="3358" t="s">
        <v>2641</v>
      </c>
      <c r="H4" s="3359"/>
      <c r="I4" s="3358" t="s">
        <v>2642</v>
      </c>
      <c r="J4" s="3359"/>
      <c r="K4" s="610" t="s">
        <v>2643</v>
      </c>
      <c r="L4" s="1130"/>
      <c r="M4" s="1131"/>
      <c r="N4" s="1131"/>
      <c r="O4" s="1131"/>
      <c r="P4" s="3362" t="s">
        <v>2644</v>
      </c>
      <c r="Q4" s="3363"/>
      <c r="R4" s="3375" t="s">
        <v>2640</v>
      </c>
      <c r="S4" s="3376"/>
      <c r="T4" s="3375" t="s">
        <v>2641</v>
      </c>
      <c r="U4" s="3376"/>
      <c r="V4" s="3350" t="s">
        <v>2642</v>
      </c>
      <c r="W4" s="3350"/>
      <c r="X4" s="1813"/>
      <c r="Y4" s="3375" t="s">
        <v>2644</v>
      </c>
      <c r="Z4" s="3376"/>
      <c r="AA4" s="3355" t="s">
        <v>2640</v>
      </c>
      <c r="AB4" s="3356" t="s">
        <v>2641</v>
      </c>
      <c r="AC4" s="3355" t="s">
        <v>2642</v>
      </c>
    </row>
    <row r="5" spans="1:29" ht="15">
      <c r="A5" s="404"/>
      <c r="B5" s="405"/>
      <c r="C5" s="3379" t="s">
        <v>2535</v>
      </c>
      <c r="D5" s="3380"/>
      <c r="E5" s="3368" t="str">
        <f>土地案例!A15</f>
        <v>龙岗区布吉街道</v>
      </c>
      <c r="F5" s="3369"/>
      <c r="G5" s="3379" t="str">
        <f>土地案例!A40</f>
        <v>龙华新区观澜办事处</v>
      </c>
      <c r="H5" s="3380"/>
      <c r="I5" s="3379" t="str">
        <f>土地案例!A43</f>
        <v>盐田区盐田港后方陆域</v>
      </c>
      <c r="J5" s="3380"/>
      <c r="K5" s="610"/>
      <c r="L5" s="1130"/>
      <c r="M5" s="1131"/>
      <c r="N5" s="1131"/>
      <c r="O5" s="1131"/>
      <c r="P5" s="3364"/>
      <c r="Q5" s="3365"/>
      <c r="R5" s="3377"/>
      <c r="S5" s="3378"/>
      <c r="T5" s="3377"/>
      <c r="U5" s="3378"/>
      <c r="V5" s="3350"/>
      <c r="W5" s="3350"/>
      <c r="X5" s="1813"/>
      <c r="Y5" s="3377"/>
      <c r="Z5" s="3378"/>
      <c r="AA5" s="3356"/>
      <c r="AB5" s="3356"/>
      <c r="AC5" s="3356"/>
    </row>
    <row r="6" spans="1:29" ht="15.75" thickBot="1">
      <c r="A6" s="406"/>
      <c r="B6" s="407"/>
      <c r="C6" s="3381" t="s">
        <v>2790</v>
      </c>
      <c r="D6" s="3382"/>
      <c r="E6" s="3384" t="str">
        <f>土地案例!G15</f>
        <v>G06103-0119</v>
      </c>
      <c r="F6" s="3385"/>
      <c r="G6" s="3381" t="str">
        <f>土地案例!G40</f>
        <v>A925-1143</v>
      </c>
      <c r="H6" s="3382"/>
      <c r="I6" s="3381" t="str">
        <f>土地案例!G43</f>
        <v>J312-0312</v>
      </c>
      <c r="J6" s="3382"/>
      <c r="K6" s="610" t="s">
        <v>2540</v>
      </c>
      <c r="L6" s="1130"/>
      <c r="M6" s="1131"/>
      <c r="N6" s="1131"/>
      <c r="O6" s="1131"/>
      <c r="P6" s="3366"/>
      <c r="Q6" s="3367"/>
      <c r="R6" s="3377"/>
      <c r="S6" s="3378"/>
      <c r="T6" s="3386"/>
      <c r="U6" s="3387"/>
      <c r="V6" s="3350"/>
      <c r="W6" s="3350"/>
      <c r="X6" s="1813"/>
      <c r="Y6" s="3386"/>
      <c r="Z6" s="3387"/>
      <c r="AA6" s="3357"/>
      <c r="AB6" s="3357"/>
      <c r="AC6" s="3357"/>
    </row>
    <row r="7" spans="1:29" s="117" customFormat="1" ht="15.75" thickBot="1">
      <c r="A7" s="408" t="s">
        <v>2541</v>
      </c>
      <c r="B7" s="409"/>
      <c r="C7" s="410">
        <f>'数据-取费表'!B2</f>
        <v>43544</v>
      </c>
      <c r="D7" s="411">
        <v>100</v>
      </c>
      <c r="E7" s="412" t="str">
        <f>土地案例!L15</f>
        <v>2016-06-15</v>
      </c>
      <c r="F7" s="413">
        <f>SUMIF(65:65,YEAR(E7)&amp;"-"&amp;INT((MONTH(E7)+2)/3),66:66)</f>
        <v>89</v>
      </c>
      <c r="G7" s="2695" t="str">
        <f>土地案例!L40</f>
        <v>2016-06-21</v>
      </c>
      <c r="H7" s="411">
        <f>SUMIF(65:65,YEAR(G7)&amp;"-"&amp;INT((MONTH(G7)+2)/3),66:66)</f>
        <v>89</v>
      </c>
      <c r="I7" s="2695" t="str">
        <f>土地案例!L43</f>
        <v>2018-11-29</v>
      </c>
      <c r="J7" s="411">
        <f>SUMIF(65:65,YEAR(I7)&amp;"-"&amp;INT((MONTH(I7)+2)/3),66:66)</f>
        <v>99</v>
      </c>
      <c r="K7" s="611"/>
      <c r="L7" s="1132"/>
      <c r="M7" s="1133"/>
      <c r="N7" s="1133"/>
      <c r="O7" s="1133"/>
      <c r="P7" s="3370" t="s">
        <v>2542</v>
      </c>
      <c r="Q7" s="3383"/>
      <c r="R7" s="770" t="s">
        <v>17</v>
      </c>
      <c r="S7" s="771">
        <f t="shared" ref="S7:S15" si="0">F7</f>
        <v>89</v>
      </c>
      <c r="T7" s="770" t="s">
        <v>17</v>
      </c>
      <c r="U7" s="771">
        <f t="shared" ref="U7:U15" si="1">H7</f>
        <v>89</v>
      </c>
      <c r="V7" s="770" t="s">
        <v>17</v>
      </c>
      <c r="W7" s="771">
        <f t="shared" ref="W7:W15" si="2">J7</f>
        <v>99</v>
      </c>
      <c r="X7" s="772"/>
      <c r="Y7" s="3370" t="s">
        <v>2542</v>
      </c>
      <c r="Z7" s="3371"/>
      <c r="AA7" s="773">
        <f>D7/F7</f>
        <v>1.1235955056179776</v>
      </c>
      <c r="AB7" s="773">
        <f>D7/H7</f>
        <v>1.1235955056179776</v>
      </c>
      <c r="AC7" s="773">
        <f>D7/J7</f>
        <v>1.0101010101010102</v>
      </c>
    </row>
    <row r="8" spans="1:29" s="117" customFormat="1" ht="15.75" thickBot="1">
      <c r="A8" s="408" t="s">
        <v>2543</v>
      </c>
      <c r="B8" s="409"/>
      <c r="C8" s="414" t="s">
        <v>2544</v>
      </c>
      <c r="D8" s="411">
        <v>100</v>
      </c>
      <c r="E8" s="414" t="s">
        <v>3501</v>
      </c>
      <c r="F8" s="413">
        <f>SUMIF(68:68,E8,69:69)-SUMIF(68:68,C8,69:69)+100</f>
        <v>100</v>
      </c>
      <c r="G8" s="414" t="s">
        <v>3501</v>
      </c>
      <c r="H8" s="411">
        <f>SUMIF(68:68,G8,69:69)-SUMIF(68:68,C8,69:69)+100</f>
        <v>100</v>
      </c>
      <c r="I8" s="414" t="s">
        <v>3501</v>
      </c>
      <c r="J8" s="411">
        <f>SUMIF(68:68,I8,69:69)-SUMIF(68:68,C8,69:69)+100</f>
        <v>100</v>
      </c>
      <c r="K8" s="611"/>
      <c r="L8" s="1132"/>
      <c r="M8" s="1133"/>
      <c r="N8" s="1133"/>
      <c r="O8" s="1133"/>
      <c r="P8" s="3370" t="s">
        <v>2545</v>
      </c>
      <c r="Q8" s="3371"/>
      <c r="R8" s="770" t="s">
        <v>17</v>
      </c>
      <c r="S8" s="771">
        <f t="shared" si="0"/>
        <v>100</v>
      </c>
      <c r="T8" s="770" t="s">
        <v>17</v>
      </c>
      <c r="U8" s="771">
        <f t="shared" si="1"/>
        <v>100</v>
      </c>
      <c r="V8" s="770" t="s">
        <v>17</v>
      </c>
      <c r="W8" s="771">
        <f t="shared" si="2"/>
        <v>100</v>
      </c>
      <c r="X8" s="772"/>
      <c r="Y8" s="3370" t="s">
        <v>2545</v>
      </c>
      <c r="Z8" s="3371"/>
      <c r="AA8" s="773">
        <f t="shared" ref="AA8:AA40" si="3">D8/F8</f>
        <v>1</v>
      </c>
      <c r="AB8" s="773">
        <f t="shared" ref="AB8:AB40" si="4">D8/H8</f>
        <v>1</v>
      </c>
      <c r="AC8" s="773">
        <f t="shared" ref="AC8:AC40" si="5">D8/J8</f>
        <v>1</v>
      </c>
    </row>
    <row r="9" spans="1:29" s="117" customFormat="1">
      <c r="A9" s="415" t="s">
        <v>2546</v>
      </c>
      <c r="B9" s="71" t="s">
        <v>2547</v>
      </c>
      <c r="C9" s="2698" t="s">
        <v>3503</v>
      </c>
      <c r="D9" s="135">
        <v>100</v>
      </c>
      <c r="E9" s="2698" t="s">
        <v>3413</v>
      </c>
      <c r="F9" s="135">
        <f>SUMIF(70:70,E9,71:71)-SUMIF(70:70,C9,71:71)+100</f>
        <v>100</v>
      </c>
      <c r="G9" s="2698" t="s">
        <v>3345</v>
      </c>
      <c r="H9" s="135">
        <f>SUMIF(70:70,G9,71:71)-SUMIF(70:70,C9,71:71)+100</f>
        <v>100</v>
      </c>
      <c r="I9" s="2698" t="s">
        <v>3359</v>
      </c>
      <c r="J9" s="135">
        <f>SUMIF(70:70,I9,71:71)-SUMIF(70:70,C9,71:71)+100</f>
        <v>100</v>
      </c>
      <c r="K9" s="611"/>
      <c r="L9" s="1132"/>
      <c r="M9" s="1133"/>
      <c r="N9" s="1133"/>
      <c r="O9" s="1134"/>
      <c r="P9" s="3348" t="s">
        <v>2548</v>
      </c>
      <c r="Q9" s="1795" t="str">
        <f t="shared" ref="Q9:Q15" si="6">B9</f>
        <v>用途</v>
      </c>
      <c r="R9" s="770" t="s">
        <v>17</v>
      </c>
      <c r="S9" s="771">
        <f t="shared" si="0"/>
        <v>100</v>
      </c>
      <c r="T9" s="770" t="s">
        <v>17</v>
      </c>
      <c r="U9" s="771">
        <f t="shared" si="1"/>
        <v>100</v>
      </c>
      <c r="V9" s="770" t="s">
        <v>17</v>
      </c>
      <c r="W9" s="771">
        <f t="shared" si="2"/>
        <v>100</v>
      </c>
      <c r="X9" s="772"/>
      <c r="Y9" s="3204" t="s">
        <v>2549</v>
      </c>
      <c r="Z9" s="55" t="str">
        <f t="shared" ref="Z9:Z15" si="7">Q9</f>
        <v>用途</v>
      </c>
      <c r="AA9" s="773">
        <f t="shared" si="3"/>
        <v>1</v>
      </c>
      <c r="AB9" s="773">
        <f t="shared" si="4"/>
        <v>1</v>
      </c>
      <c r="AC9" s="773">
        <f t="shared" si="5"/>
        <v>1</v>
      </c>
    </row>
    <row r="10" spans="1:29" s="427" customFormat="1" ht="27">
      <c r="A10" s="421"/>
      <c r="B10" s="422" t="s">
        <v>2550</v>
      </c>
      <c r="C10" s="432"/>
      <c r="D10" s="3130">
        <f>L10*100</f>
        <v>82.399999999999991</v>
      </c>
      <c r="E10" s="432">
        <v>30</v>
      </c>
      <c r="F10" s="3130">
        <f>ROUND(D10/'数据-取费表'!G16,0)</f>
        <v>116</v>
      </c>
      <c r="G10" s="432">
        <v>30</v>
      </c>
      <c r="H10" s="3130">
        <f>ROUND(D10/'数据-取费表'!G16,0)</f>
        <v>116</v>
      </c>
      <c r="I10" s="432">
        <v>30</v>
      </c>
      <c r="J10" s="3130">
        <f>ROUND(D10/'数据-取费表'!G16,0)</f>
        <v>116</v>
      </c>
      <c r="K10" s="672"/>
      <c r="L10" s="1135">
        <f>年期修正系数!C13</f>
        <v>0.82399999999999995</v>
      </c>
      <c r="M10" s="1136"/>
      <c r="N10" s="1136"/>
      <c r="O10" s="1137"/>
      <c r="P10" s="3348"/>
      <c r="Q10" s="1795" t="str">
        <f t="shared" si="6"/>
        <v>土地使用年限（年）</v>
      </c>
      <c r="R10" s="770" t="s">
        <v>17</v>
      </c>
      <c r="S10" s="771">
        <f t="shared" si="0"/>
        <v>116</v>
      </c>
      <c r="T10" s="770" t="s">
        <v>17</v>
      </c>
      <c r="U10" s="771">
        <f t="shared" si="1"/>
        <v>116</v>
      </c>
      <c r="V10" s="770" t="s">
        <v>17</v>
      </c>
      <c r="W10" s="771">
        <f t="shared" si="2"/>
        <v>116</v>
      </c>
      <c r="X10" s="772"/>
      <c r="Y10" s="3204"/>
      <c r="Z10" s="55" t="str">
        <f t="shared" si="7"/>
        <v>土地使用年限（年）</v>
      </c>
      <c r="AA10" s="773">
        <f t="shared" si="3"/>
        <v>0.71034482758620687</v>
      </c>
      <c r="AB10" s="773">
        <f t="shared" si="4"/>
        <v>0.71034482758620687</v>
      </c>
      <c r="AC10" s="773">
        <f t="shared" si="5"/>
        <v>0.71034482758620687</v>
      </c>
    </row>
    <row r="11" spans="1:29" ht="15">
      <c r="A11" s="428"/>
      <c r="B11" s="422" t="s">
        <v>2551</v>
      </c>
      <c r="C11" s="429">
        <f>'数据-汇总表'!I6</f>
        <v>2.0099999999999998</v>
      </c>
      <c r="D11" s="136">
        <v>100</v>
      </c>
      <c r="E11" s="429">
        <v>3</v>
      </c>
      <c r="F11" s="136">
        <f>LOOKUP(E11,75:75,76:76)-LOOKUP(C11,75:75,76:76)+100</f>
        <v>95</v>
      </c>
      <c r="G11" s="430">
        <v>3</v>
      </c>
      <c r="H11" s="136">
        <f>LOOKUP(G11,75:75,76:76)-LOOKUP(C11,75:75,76:76)+100</f>
        <v>95</v>
      </c>
      <c r="I11" s="429">
        <v>2.5</v>
      </c>
      <c r="J11" s="136">
        <f>LOOKUP(I11,75:75,76:76)-LOOKUP(C11,75:75,76:76)+100</f>
        <v>100</v>
      </c>
      <c r="K11" s="673">
        <v>5</v>
      </c>
      <c r="L11" s="1138"/>
      <c r="M11" s="1131"/>
      <c r="N11" s="1131"/>
      <c r="O11" s="1139"/>
      <c r="P11" s="3348"/>
      <c r="Q11" s="1795" t="str">
        <f t="shared" si="6"/>
        <v>容积率</v>
      </c>
      <c r="R11" s="770" t="s">
        <v>17</v>
      </c>
      <c r="S11" s="771">
        <f t="shared" si="0"/>
        <v>95</v>
      </c>
      <c r="T11" s="770" t="s">
        <v>17</v>
      </c>
      <c r="U11" s="771">
        <f t="shared" si="1"/>
        <v>95</v>
      </c>
      <c r="V11" s="770" t="s">
        <v>17</v>
      </c>
      <c r="W11" s="771">
        <f t="shared" si="2"/>
        <v>100</v>
      </c>
      <c r="X11" s="772"/>
      <c r="Y11" s="3204"/>
      <c r="Z11" s="55" t="str">
        <f t="shared" si="7"/>
        <v>容积率</v>
      </c>
      <c r="AA11" s="773">
        <f t="shared" si="3"/>
        <v>1.0526315789473684</v>
      </c>
      <c r="AB11" s="773">
        <f t="shared" si="4"/>
        <v>1.0526315789473684</v>
      </c>
      <c r="AC11" s="773">
        <f t="shared" si="5"/>
        <v>1</v>
      </c>
    </row>
    <row r="12" spans="1:29" s="117" customFormat="1" ht="27">
      <c r="A12" s="431"/>
      <c r="B12" s="3086" t="s">
        <v>7032</v>
      </c>
      <c r="C12" s="432"/>
      <c r="D12" s="433">
        <v>100</v>
      </c>
      <c r="E12" s="3087" t="s">
        <v>7033</v>
      </c>
      <c r="F12" s="136">
        <f>SUMIF(77:77,E12,78:78)-SUMIF(77:77,C12,78:78)+100</f>
        <v>100</v>
      </c>
      <c r="G12" s="3088" t="s">
        <v>7034</v>
      </c>
      <c r="H12" s="136">
        <f>SUMIF(77:77,G12,78:78)-SUMIF(77:77,C12,78:78)+100</f>
        <v>100</v>
      </c>
      <c r="I12" s="3087" t="s">
        <v>7036</v>
      </c>
      <c r="J12" s="136">
        <f>SUMIF(77:77,I12,78:78)-SUMIF(77:77,C12,78:78)+100</f>
        <v>100</v>
      </c>
      <c r="K12" s="672"/>
      <c r="L12" s="1132"/>
      <c r="M12" s="1133"/>
      <c r="N12" s="1133"/>
      <c r="O12" s="1134"/>
      <c r="P12" s="3348"/>
      <c r="Q12" s="1795" t="str">
        <f t="shared" si="6"/>
        <v>准入产业类别</v>
      </c>
      <c r="R12" s="770" t="s">
        <v>17</v>
      </c>
      <c r="S12" s="771">
        <f t="shared" si="0"/>
        <v>100</v>
      </c>
      <c r="T12" s="770" t="s">
        <v>17</v>
      </c>
      <c r="U12" s="771">
        <f t="shared" si="1"/>
        <v>100</v>
      </c>
      <c r="V12" s="770" t="s">
        <v>17</v>
      </c>
      <c r="W12" s="771">
        <f t="shared" si="2"/>
        <v>100</v>
      </c>
      <c r="X12" s="772"/>
      <c r="Y12" s="3204"/>
      <c r="Z12" s="55" t="str">
        <f t="shared" si="7"/>
        <v>准入产业类别</v>
      </c>
      <c r="AA12" s="773">
        <f>D12/F12</f>
        <v>1</v>
      </c>
      <c r="AB12" s="773">
        <f>D12/H12</f>
        <v>1</v>
      </c>
      <c r="AC12" s="773">
        <f>D12/J12</f>
        <v>1</v>
      </c>
    </row>
    <row r="13" spans="1:29" ht="15">
      <c r="A13" s="428"/>
      <c r="B13" s="2599"/>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348"/>
      <c r="Q13" s="1795">
        <f t="shared" si="6"/>
        <v>0</v>
      </c>
      <c r="R13" s="770" t="s">
        <v>17</v>
      </c>
      <c r="S13" s="771">
        <f t="shared" si="0"/>
        <v>100</v>
      </c>
      <c r="T13" s="770" t="s">
        <v>17</v>
      </c>
      <c r="U13" s="771">
        <f t="shared" si="1"/>
        <v>100</v>
      </c>
      <c r="V13" s="770" t="s">
        <v>17</v>
      </c>
      <c r="W13" s="771">
        <f t="shared" si="2"/>
        <v>100</v>
      </c>
      <c r="X13" s="772"/>
      <c r="Y13" s="3204"/>
      <c r="Z13" s="55">
        <f t="shared" si="7"/>
        <v>0</v>
      </c>
      <c r="AA13" s="773">
        <f t="shared" si="3"/>
        <v>1</v>
      </c>
      <c r="AB13" s="773">
        <f t="shared" si="4"/>
        <v>1</v>
      </c>
      <c r="AC13" s="773">
        <f t="shared" si="5"/>
        <v>1</v>
      </c>
    </row>
    <row r="14" spans="1:29" ht="15.75" thickBot="1">
      <c r="A14" s="436"/>
      <c r="B14" s="2601"/>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348"/>
      <c r="Q14" s="1795">
        <f t="shared" si="6"/>
        <v>0</v>
      </c>
      <c r="R14" s="770" t="s">
        <v>17</v>
      </c>
      <c r="S14" s="771">
        <f t="shared" si="0"/>
        <v>100</v>
      </c>
      <c r="T14" s="770" t="s">
        <v>17</v>
      </c>
      <c r="U14" s="771">
        <f t="shared" si="1"/>
        <v>100</v>
      </c>
      <c r="V14" s="770" t="s">
        <v>17</v>
      </c>
      <c r="W14" s="771">
        <f t="shared" si="2"/>
        <v>100</v>
      </c>
      <c r="X14" s="772"/>
      <c r="Y14" s="3204"/>
      <c r="Z14" s="55">
        <f t="shared" si="7"/>
        <v>0</v>
      </c>
      <c r="AA14" s="773">
        <f t="shared" si="3"/>
        <v>1</v>
      </c>
      <c r="AB14" s="773">
        <f t="shared" si="4"/>
        <v>1</v>
      </c>
      <c r="AC14" s="773">
        <f t="shared" si="5"/>
        <v>1</v>
      </c>
    </row>
    <row r="15" spans="1:29" ht="42.75">
      <c r="A15" s="440" t="s">
        <v>2552</v>
      </c>
      <c r="B15" s="629" t="s">
        <v>2791</v>
      </c>
      <c r="C15" s="269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v>3</v>
      </c>
      <c r="L15" s="1140"/>
      <c r="M15" s="1131"/>
      <c r="N15" s="1131"/>
      <c r="O15" s="1139"/>
      <c r="P15" s="3351" t="s">
        <v>2553</v>
      </c>
      <c r="Q15" s="1810" t="str">
        <f t="shared" si="6"/>
        <v>产业集聚程度</v>
      </c>
      <c r="R15" s="774" t="s">
        <v>17</v>
      </c>
      <c r="S15" s="775">
        <f t="shared" si="0"/>
        <v>100</v>
      </c>
      <c r="T15" s="774" t="s">
        <v>17</v>
      </c>
      <c r="U15" s="775">
        <f t="shared" si="1"/>
        <v>100</v>
      </c>
      <c r="V15" s="774" t="s">
        <v>17</v>
      </c>
      <c r="W15" s="775">
        <f t="shared" si="2"/>
        <v>100</v>
      </c>
      <c r="X15" s="1813"/>
      <c r="Y15" s="3351" t="s">
        <v>2553</v>
      </c>
      <c r="Z15" s="1814" t="str">
        <f t="shared" si="7"/>
        <v>产业集聚程度</v>
      </c>
      <c r="AA15" s="1811">
        <f t="shared" si="3"/>
        <v>1</v>
      </c>
      <c r="AB15" s="1811">
        <f t="shared" si="4"/>
        <v>1</v>
      </c>
      <c r="AC15" s="1811">
        <f t="shared" si="5"/>
        <v>1</v>
      </c>
    </row>
    <row r="16" spans="1:29" ht="15">
      <c r="A16" s="428"/>
      <c r="B16" s="630"/>
      <c r="C16" s="447" t="s">
        <v>3509</v>
      </c>
      <c r="D16" s="448"/>
      <c r="E16" s="2610" t="s">
        <v>3509</v>
      </c>
      <c r="F16" s="448"/>
      <c r="G16" s="2610" t="s">
        <v>3509</v>
      </c>
      <c r="H16" s="450"/>
      <c r="I16" s="2610" t="s">
        <v>3509</v>
      </c>
      <c r="J16" s="448"/>
      <c r="K16" s="672"/>
      <c r="L16" s="1140"/>
      <c r="M16" s="1131"/>
      <c r="N16" s="1131"/>
      <c r="O16" s="1139"/>
      <c r="P16" s="3352"/>
      <c r="Q16" s="1810"/>
      <c r="R16" s="774"/>
      <c r="S16" s="775"/>
      <c r="T16" s="774"/>
      <c r="U16" s="775"/>
      <c r="V16" s="774"/>
      <c r="W16" s="775"/>
      <c r="X16" s="1813"/>
      <c r="Y16" s="3352"/>
      <c r="Z16" s="1814"/>
      <c r="AA16" s="1811">
        <v>1</v>
      </c>
      <c r="AB16" s="1811">
        <v>1</v>
      </c>
      <c r="AC16" s="1811">
        <v>1</v>
      </c>
    </row>
    <row r="17" spans="1:29" ht="57">
      <c r="A17" s="428"/>
      <c r="B17" s="631" t="s">
        <v>2702</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103</v>
      </c>
      <c r="K17" s="673">
        <v>3</v>
      </c>
      <c r="L17" s="1140"/>
      <c r="M17" s="1131"/>
      <c r="N17" s="1131"/>
      <c r="O17" s="1139"/>
      <c r="P17" s="3352"/>
      <c r="Q17" s="1810" t="str">
        <f>B17</f>
        <v>交通便捷度</v>
      </c>
      <c r="R17" s="774" t="s">
        <v>17</v>
      </c>
      <c r="S17" s="775">
        <f>F17</f>
        <v>100</v>
      </c>
      <c r="T17" s="774" t="s">
        <v>17</v>
      </c>
      <c r="U17" s="775">
        <f>H17</f>
        <v>100</v>
      </c>
      <c r="V17" s="774" t="s">
        <v>17</v>
      </c>
      <c r="W17" s="775">
        <f>J17</f>
        <v>103</v>
      </c>
      <c r="X17" s="1813"/>
      <c r="Y17" s="3352"/>
      <c r="Z17" s="1814" t="str">
        <f>Q17</f>
        <v>交通便捷度</v>
      </c>
      <c r="AA17" s="1811">
        <f t="shared" si="3"/>
        <v>1</v>
      </c>
      <c r="AB17" s="1811">
        <f t="shared" si="4"/>
        <v>1</v>
      </c>
      <c r="AC17" s="1811">
        <f t="shared" si="5"/>
        <v>0.970873786407767</v>
      </c>
    </row>
    <row r="18" spans="1:29" ht="15">
      <c r="A18" s="428"/>
      <c r="B18" s="632"/>
      <c r="C18" s="447" t="s">
        <v>3509</v>
      </c>
      <c r="D18" s="448"/>
      <c r="E18" s="447" t="s">
        <v>3509</v>
      </c>
      <c r="F18" s="448"/>
      <c r="G18" s="447" t="s">
        <v>3509</v>
      </c>
      <c r="H18" s="448"/>
      <c r="I18" s="447" t="s">
        <v>7062</v>
      </c>
      <c r="J18" s="448"/>
      <c r="K18" s="672"/>
      <c r="L18" s="1140"/>
      <c r="M18" s="1131"/>
      <c r="N18" s="1131"/>
      <c r="O18" s="1139"/>
      <c r="P18" s="3352"/>
      <c r="Q18" s="1810"/>
      <c r="R18" s="774"/>
      <c r="S18" s="775"/>
      <c r="T18" s="774"/>
      <c r="U18" s="775"/>
      <c r="V18" s="774"/>
      <c r="W18" s="775"/>
      <c r="X18" s="1813"/>
      <c r="Y18" s="3352"/>
      <c r="Z18" s="1814"/>
      <c r="AA18" s="1811">
        <v>1</v>
      </c>
      <c r="AB18" s="1811">
        <v>1</v>
      </c>
      <c r="AC18" s="1811">
        <v>1</v>
      </c>
    </row>
    <row r="19" spans="1:29" ht="15">
      <c r="A19" s="428"/>
      <c r="B19" s="631" t="s">
        <v>2741</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v>5</v>
      </c>
      <c r="L19" s="1140"/>
      <c r="M19" s="1131"/>
      <c r="N19" s="1131"/>
      <c r="O19" s="1139"/>
      <c r="P19" s="3352"/>
      <c r="Q19" s="1810" t="str">
        <f t="shared" ref="Q19:Q33" si="8">B19</f>
        <v>区域土地利用方向</v>
      </c>
      <c r="R19" s="774" t="s">
        <v>17</v>
      </c>
      <c r="S19" s="775">
        <f>F19</f>
        <v>100</v>
      </c>
      <c r="T19" s="774" t="s">
        <v>17</v>
      </c>
      <c r="U19" s="775">
        <f>H19</f>
        <v>100</v>
      </c>
      <c r="V19" s="774" t="s">
        <v>17</v>
      </c>
      <c r="W19" s="775">
        <f>J19</f>
        <v>100</v>
      </c>
      <c r="X19" s="1813"/>
      <c r="Y19" s="3352"/>
      <c r="Z19" s="1814" t="str">
        <f>Q19</f>
        <v>区域土地利用方向</v>
      </c>
      <c r="AA19" s="1811">
        <f t="shared" si="3"/>
        <v>1</v>
      </c>
      <c r="AB19" s="1811">
        <f t="shared" si="4"/>
        <v>1</v>
      </c>
      <c r="AC19" s="1811">
        <f t="shared" si="5"/>
        <v>1</v>
      </c>
    </row>
    <row r="20" spans="1:29" ht="15">
      <c r="A20" s="404"/>
      <c r="B20" s="632"/>
      <c r="C20" s="447" t="s">
        <v>3509</v>
      </c>
      <c r="D20" s="448"/>
      <c r="E20" s="447" t="s">
        <v>3509</v>
      </c>
      <c r="F20" s="448"/>
      <c r="G20" s="447" t="s">
        <v>3509</v>
      </c>
      <c r="H20" s="448"/>
      <c r="I20" s="447" t="s">
        <v>3509</v>
      </c>
      <c r="J20" s="448"/>
      <c r="K20" s="809"/>
      <c r="L20" s="1140"/>
      <c r="M20" s="1131"/>
      <c r="N20" s="1131"/>
      <c r="O20" s="1139"/>
      <c r="P20" s="3352"/>
      <c r="Q20" s="1810"/>
      <c r="R20" s="774"/>
      <c r="S20" s="775"/>
      <c r="T20" s="774"/>
      <c r="U20" s="775"/>
      <c r="V20" s="774"/>
      <c r="W20" s="775"/>
      <c r="X20" s="1813"/>
      <c r="Y20" s="3352"/>
      <c r="Z20" s="1814"/>
      <c r="AA20" s="1811"/>
      <c r="AB20" s="1811"/>
      <c r="AC20" s="1811"/>
    </row>
    <row r="21" spans="1:29" ht="42.75">
      <c r="A21" s="404"/>
      <c r="B21" s="631" t="s">
        <v>2792</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v>3</v>
      </c>
      <c r="L21" s="1140"/>
      <c r="M21" s="1131"/>
      <c r="N21" s="1131"/>
      <c r="O21" s="1139"/>
      <c r="P21" s="3352"/>
      <c r="Q21" s="1810" t="str">
        <f t="shared" si="8"/>
        <v>环境状况</v>
      </c>
      <c r="R21" s="774" t="s">
        <v>17</v>
      </c>
      <c r="S21" s="775">
        <f>F21</f>
        <v>100</v>
      </c>
      <c r="T21" s="774" t="s">
        <v>17</v>
      </c>
      <c r="U21" s="775">
        <f>H21</f>
        <v>100</v>
      </c>
      <c r="V21" s="774" t="s">
        <v>17</v>
      </c>
      <c r="W21" s="775">
        <f>J21</f>
        <v>100</v>
      </c>
      <c r="X21" s="1813"/>
      <c r="Y21" s="3352"/>
      <c r="Z21" s="1814" t="str">
        <f>Q21</f>
        <v>环境状况</v>
      </c>
      <c r="AA21" s="1811">
        <f t="shared" si="3"/>
        <v>1</v>
      </c>
      <c r="AB21" s="1811">
        <f t="shared" si="4"/>
        <v>1</v>
      </c>
      <c r="AC21" s="1811">
        <f t="shared" si="5"/>
        <v>1</v>
      </c>
    </row>
    <row r="22" spans="1:29" ht="15">
      <c r="A22" s="404"/>
      <c r="B22" s="632"/>
      <c r="C22" s="447" t="s">
        <v>3509</v>
      </c>
      <c r="D22" s="448"/>
      <c r="E22" s="447" t="s">
        <v>3509</v>
      </c>
      <c r="F22" s="448"/>
      <c r="G22" s="447" t="s">
        <v>3509</v>
      </c>
      <c r="H22" s="448"/>
      <c r="I22" s="447" t="s">
        <v>3509</v>
      </c>
      <c r="J22" s="448"/>
      <c r="K22" s="672"/>
      <c r="L22" s="1140"/>
      <c r="M22" s="1131"/>
      <c r="N22" s="1131"/>
      <c r="O22" s="1139"/>
      <c r="P22" s="3352"/>
      <c r="Q22" s="1810"/>
      <c r="R22" s="774"/>
      <c r="S22" s="775"/>
      <c r="T22" s="774"/>
      <c r="U22" s="775"/>
      <c r="V22" s="774"/>
      <c r="W22" s="775"/>
      <c r="X22" s="1813"/>
      <c r="Y22" s="3352"/>
      <c r="Z22" s="1814"/>
      <c r="AA22" s="1811">
        <v>1</v>
      </c>
      <c r="AB22" s="1811">
        <v>1</v>
      </c>
      <c r="AC22" s="1811">
        <v>1</v>
      </c>
    </row>
    <row r="23" spans="1:29" s="117" customFormat="1" ht="28.5">
      <c r="A23" s="649"/>
      <c r="B23" s="633" t="s">
        <v>2647</v>
      </c>
      <c r="C23" s="2606" t="str">
        <f>估价对象房地状况!G19</f>
        <v>估价对象所在区域公共配套设施齐备情况</v>
      </c>
      <c r="D23" s="450">
        <v>100</v>
      </c>
      <c r="E23" s="452"/>
      <c r="F23" s="450">
        <f>SUMIF(91:91,E24,92:92)-SUMIF(91:91,C24,92:92)+100</f>
        <v>95</v>
      </c>
      <c r="G23" s="452"/>
      <c r="H23" s="450">
        <f>SUMIF(91:91,G24,92:92)-SUMIF(91:91,C24,92:92)+100</f>
        <v>95</v>
      </c>
      <c r="I23" s="454"/>
      <c r="J23" s="450">
        <f>SUMIF(91:91,I24,92:92)-SUMIF(91:91,C24,92:92)+100</f>
        <v>95</v>
      </c>
      <c r="K23" s="673">
        <v>5</v>
      </c>
      <c r="L23" s="1132"/>
      <c r="M23" s="1133"/>
      <c r="N23" s="1133"/>
      <c r="O23" s="1134"/>
      <c r="P23" s="3352"/>
      <c r="Q23" s="1795" t="str">
        <f t="shared" si="8"/>
        <v>公共配套设施</v>
      </c>
      <c r="R23" s="770" t="s">
        <v>17</v>
      </c>
      <c r="S23" s="771">
        <f>F23</f>
        <v>95</v>
      </c>
      <c r="T23" s="770" t="s">
        <v>17</v>
      </c>
      <c r="U23" s="771">
        <f>H23</f>
        <v>95</v>
      </c>
      <c r="V23" s="770" t="s">
        <v>17</v>
      </c>
      <c r="W23" s="771">
        <f>J23</f>
        <v>95</v>
      </c>
      <c r="X23" s="772"/>
      <c r="Y23" s="3352"/>
      <c r="Z23" s="55" t="str">
        <f>Q23</f>
        <v>公共配套设施</v>
      </c>
      <c r="AA23" s="1811">
        <f>D23/F23</f>
        <v>1.0526315789473684</v>
      </c>
      <c r="AB23" s="1811">
        <f>D23/H23</f>
        <v>1.0526315789473684</v>
      </c>
      <c r="AC23" s="1811">
        <f>D23/J23</f>
        <v>1.0526315789473684</v>
      </c>
    </row>
    <row r="24" spans="1:29" s="117" customFormat="1" ht="15">
      <c r="A24" s="649"/>
      <c r="B24" s="632"/>
      <c r="C24" s="2699" t="s">
        <v>3509</v>
      </c>
      <c r="D24" s="448"/>
      <c r="E24" s="2610" t="s">
        <v>3510</v>
      </c>
      <c r="F24" s="448"/>
      <c r="G24" s="2610" t="s">
        <v>3510</v>
      </c>
      <c r="H24" s="448"/>
      <c r="I24" s="447" t="s">
        <v>3510</v>
      </c>
      <c r="J24" s="448"/>
      <c r="K24" s="672"/>
      <c r="L24" s="1132"/>
      <c r="M24" s="1133"/>
      <c r="N24" s="1133"/>
      <c r="O24" s="1134"/>
      <c r="P24" s="3352"/>
      <c r="Q24" s="1795"/>
      <c r="R24" s="770"/>
      <c r="S24" s="771"/>
      <c r="T24" s="770"/>
      <c r="U24" s="771"/>
      <c r="V24" s="770"/>
      <c r="W24" s="771"/>
      <c r="X24" s="772"/>
      <c r="Y24" s="3352"/>
      <c r="Z24" s="55"/>
      <c r="AA24" s="773">
        <v>1</v>
      </c>
      <c r="AB24" s="773">
        <v>1</v>
      </c>
      <c r="AC24" s="773">
        <v>1</v>
      </c>
    </row>
    <row r="25" spans="1:29" s="117" customFormat="1" ht="28.5">
      <c r="A25" s="649"/>
      <c r="B25" s="633" t="s">
        <v>2648</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v>2</v>
      </c>
      <c r="L25" s="1132"/>
      <c r="M25" s="1133"/>
      <c r="N25" s="1133"/>
      <c r="O25" s="1134"/>
      <c r="P25" s="3352"/>
      <c r="Q25" s="1795" t="str">
        <f t="shared" ref="Q25" si="9">B25</f>
        <v>基础设施水平</v>
      </c>
      <c r="R25" s="770" t="s">
        <v>17</v>
      </c>
      <c r="S25" s="771">
        <f>F25</f>
        <v>100</v>
      </c>
      <c r="T25" s="770" t="s">
        <v>17</v>
      </c>
      <c r="U25" s="771">
        <f>H25</f>
        <v>100</v>
      </c>
      <c r="V25" s="770" t="s">
        <v>17</v>
      </c>
      <c r="W25" s="771">
        <f>J25</f>
        <v>100</v>
      </c>
      <c r="X25" s="772"/>
      <c r="Y25" s="3352"/>
      <c r="Z25" s="55" t="str">
        <f>Q25</f>
        <v>基础设施水平</v>
      </c>
      <c r="AA25" s="1811">
        <f>D25/F25</f>
        <v>1</v>
      </c>
      <c r="AB25" s="1811">
        <f>D25/H25</f>
        <v>1</v>
      </c>
      <c r="AC25" s="1811">
        <f>D25/J25</f>
        <v>1</v>
      </c>
    </row>
    <row r="26" spans="1:29" s="117" customFormat="1" ht="15">
      <c r="A26" s="649"/>
      <c r="B26" s="632"/>
      <c r="C26" s="2699" t="s">
        <v>3511</v>
      </c>
      <c r="D26" s="448"/>
      <c r="E26" s="2699" t="s">
        <v>3511</v>
      </c>
      <c r="F26" s="448"/>
      <c r="G26" s="2699" t="s">
        <v>3511</v>
      </c>
      <c r="H26" s="448"/>
      <c r="I26" s="2699" t="s">
        <v>3511</v>
      </c>
      <c r="J26" s="448"/>
      <c r="K26" s="672"/>
      <c r="L26" s="1132"/>
      <c r="M26" s="1133"/>
      <c r="N26" s="1133"/>
      <c r="O26" s="1134"/>
      <c r="P26" s="3352"/>
      <c r="Q26" s="1795"/>
      <c r="R26" s="770"/>
      <c r="S26" s="771"/>
      <c r="T26" s="770"/>
      <c r="U26" s="771"/>
      <c r="V26" s="770"/>
      <c r="W26" s="771"/>
      <c r="X26" s="772"/>
      <c r="Y26" s="3352"/>
      <c r="Z26" s="55"/>
      <c r="AA26" s="773">
        <v>1</v>
      </c>
      <c r="AB26" s="773">
        <v>1</v>
      </c>
      <c r="AC26" s="773">
        <v>1</v>
      </c>
    </row>
    <row r="27" spans="1:29" ht="15">
      <c r="A27" s="428"/>
      <c r="B27" s="632" t="s">
        <v>2649</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352"/>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352"/>
      <c r="Z27" s="1814" t="str">
        <f t="shared" ref="Z27:Z40" si="13">Q27</f>
        <v>临街状况</v>
      </c>
      <c r="AA27" s="1811">
        <f t="shared" si="3"/>
        <v>1</v>
      </c>
      <c r="AB27" s="1811">
        <f t="shared" si="4"/>
        <v>1</v>
      </c>
      <c r="AC27" s="1811">
        <f t="shared" si="5"/>
        <v>1</v>
      </c>
    </row>
    <row r="28" spans="1:29" ht="27">
      <c r="A28" s="428"/>
      <c r="B28" s="633" t="s">
        <v>2684</v>
      </c>
      <c r="C28" s="2712">
        <f>估价对象房地状况!G22</f>
        <v>0</v>
      </c>
      <c r="D28" s="450">
        <v>100</v>
      </c>
      <c r="E28" s="3131" t="s">
        <v>7069</v>
      </c>
      <c r="F28" s="450">
        <f>SUMIF(97:97,E29,98:98)-SUMIF(97:97,C29,98:98)+100</f>
        <v>96</v>
      </c>
      <c r="G28" s="3131" t="s">
        <v>7070</v>
      </c>
      <c r="H28" s="450">
        <f>SUMIF(97:97,G29,98:98)-SUMIF(97:97,C29,98:98)+100</f>
        <v>100</v>
      </c>
      <c r="I28" s="3132" t="s">
        <v>7071</v>
      </c>
      <c r="J28" s="450">
        <f>SUMIF(97:97,I29,98:98)-SUMIF(97:97,C29,98:98)+100</f>
        <v>96</v>
      </c>
      <c r="K28" s="673">
        <v>2</v>
      </c>
      <c r="L28" s="1140"/>
      <c r="M28" s="1131"/>
      <c r="N28" s="1131"/>
      <c r="O28" s="1139"/>
      <c r="P28" s="3352"/>
      <c r="Q28" s="1810" t="str">
        <f t="shared" si="8"/>
        <v>毗邻道路的类型与等级</v>
      </c>
      <c r="R28" s="774" t="s">
        <v>17</v>
      </c>
      <c r="S28" s="775">
        <f t="shared" si="10"/>
        <v>96</v>
      </c>
      <c r="T28" s="774" t="s">
        <v>17</v>
      </c>
      <c r="U28" s="775">
        <f t="shared" si="11"/>
        <v>100</v>
      </c>
      <c r="V28" s="774" t="s">
        <v>17</v>
      </c>
      <c r="W28" s="775">
        <f t="shared" si="12"/>
        <v>96</v>
      </c>
      <c r="X28" s="1813"/>
      <c r="Y28" s="3352"/>
      <c r="Z28" s="1814" t="str">
        <f t="shared" si="13"/>
        <v>毗邻道路的类型与等级</v>
      </c>
      <c r="AA28" s="1811">
        <f t="shared" si="3"/>
        <v>1.0416666666666667</v>
      </c>
      <c r="AB28" s="1811">
        <f t="shared" si="4"/>
        <v>1</v>
      </c>
      <c r="AC28" s="1811">
        <f t="shared" si="5"/>
        <v>1.0416666666666667</v>
      </c>
    </row>
    <row r="29" spans="1:29" ht="15">
      <c r="A29" s="428"/>
      <c r="B29" s="632"/>
      <c r="C29" s="447" t="s">
        <v>7064</v>
      </c>
      <c r="D29" s="448"/>
      <c r="E29" s="2610" t="s">
        <v>7067</v>
      </c>
      <c r="F29" s="448"/>
      <c r="G29" s="2610" t="s">
        <v>7064</v>
      </c>
      <c r="H29" s="448"/>
      <c r="I29" s="2610" t="s">
        <v>7067</v>
      </c>
      <c r="J29" s="448"/>
      <c r="K29" s="613"/>
      <c r="L29" s="1140"/>
      <c r="M29" s="1131"/>
      <c r="N29" s="1131"/>
      <c r="O29" s="1139"/>
      <c r="P29" s="3352"/>
      <c r="Q29" s="1810"/>
      <c r="R29" s="774"/>
      <c r="S29" s="775"/>
      <c r="T29" s="774"/>
      <c r="U29" s="775"/>
      <c r="V29" s="774"/>
      <c r="W29" s="775"/>
      <c r="X29" s="1813"/>
      <c r="Y29" s="3352"/>
      <c r="Z29" s="1814"/>
      <c r="AA29" s="1811">
        <v>1</v>
      </c>
      <c r="AB29" s="1811">
        <v>1</v>
      </c>
      <c r="AC29" s="1811">
        <v>1</v>
      </c>
    </row>
    <row r="30" spans="1:29" ht="15">
      <c r="A30" s="428"/>
      <c r="B30" s="654" t="s">
        <v>2743</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352"/>
      <c r="Q30" s="1810" t="str">
        <f t="shared" si="8"/>
        <v>土地级别</v>
      </c>
      <c r="R30" s="774" t="s">
        <v>17</v>
      </c>
      <c r="S30" s="775">
        <f t="shared" si="10"/>
        <v>100</v>
      </c>
      <c r="T30" s="774" t="s">
        <v>17</v>
      </c>
      <c r="U30" s="775">
        <f t="shared" si="11"/>
        <v>100</v>
      </c>
      <c r="V30" s="774" t="s">
        <v>17</v>
      </c>
      <c r="W30" s="775">
        <f t="shared" si="12"/>
        <v>100</v>
      </c>
      <c r="X30" s="1813"/>
      <c r="Y30" s="3352"/>
      <c r="Z30" s="1814" t="str">
        <f t="shared" si="13"/>
        <v>土地级别</v>
      </c>
      <c r="AA30" s="1811">
        <f t="shared" si="3"/>
        <v>1</v>
      </c>
      <c r="AB30" s="1811">
        <f t="shared" si="4"/>
        <v>1</v>
      </c>
      <c r="AC30" s="1811">
        <f t="shared" si="5"/>
        <v>1</v>
      </c>
    </row>
    <row r="31" spans="1:29" ht="15">
      <c r="A31" s="404"/>
      <c r="B31" s="2677"/>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352"/>
      <c r="Q31" s="1810">
        <f t="shared" si="8"/>
        <v>0</v>
      </c>
      <c r="R31" s="774" t="s">
        <v>17</v>
      </c>
      <c r="S31" s="775">
        <f t="shared" si="10"/>
        <v>100</v>
      </c>
      <c r="T31" s="774" t="s">
        <v>17</v>
      </c>
      <c r="U31" s="775">
        <f t="shared" si="11"/>
        <v>100</v>
      </c>
      <c r="V31" s="774" t="s">
        <v>17</v>
      </c>
      <c r="W31" s="775">
        <f t="shared" si="12"/>
        <v>100</v>
      </c>
      <c r="X31" s="1813"/>
      <c r="Y31" s="3352"/>
      <c r="Z31" s="1814">
        <f t="shared" si="13"/>
        <v>0</v>
      </c>
      <c r="AA31" s="1811">
        <f t="shared" si="3"/>
        <v>1</v>
      </c>
      <c r="AB31" s="1811">
        <f t="shared" si="4"/>
        <v>1</v>
      </c>
      <c r="AC31" s="1811">
        <f t="shared" si="5"/>
        <v>1</v>
      </c>
    </row>
    <row r="32" spans="1:29" ht="15">
      <c r="A32" s="675"/>
      <c r="B32" s="2713"/>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353" t="s">
        <v>2558</v>
      </c>
      <c r="Q32" s="1810">
        <f t="shared" si="8"/>
        <v>0</v>
      </c>
      <c r="R32" s="774" t="s">
        <v>17</v>
      </c>
      <c r="S32" s="775">
        <f t="shared" si="10"/>
        <v>100</v>
      </c>
      <c r="T32" s="774" t="s">
        <v>17</v>
      </c>
      <c r="U32" s="775">
        <f t="shared" si="11"/>
        <v>100</v>
      </c>
      <c r="V32" s="774" t="s">
        <v>17</v>
      </c>
      <c r="W32" s="775">
        <f t="shared" si="12"/>
        <v>100</v>
      </c>
      <c r="X32" s="1813"/>
      <c r="Y32" s="3354" t="s">
        <v>2558</v>
      </c>
      <c r="Z32" s="1814">
        <f t="shared" si="13"/>
        <v>0</v>
      </c>
      <c r="AA32" s="1811">
        <f t="shared" si="3"/>
        <v>1</v>
      </c>
      <c r="AB32" s="1811">
        <f t="shared" si="4"/>
        <v>1</v>
      </c>
      <c r="AC32" s="1811">
        <f t="shared" si="5"/>
        <v>1</v>
      </c>
    </row>
    <row r="33" spans="1:29" s="471" customFormat="1" ht="15.75" thickBot="1">
      <c r="A33" s="676"/>
      <c r="B33" s="2714"/>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354"/>
      <c r="Q33" s="1810">
        <f t="shared" si="8"/>
        <v>0</v>
      </c>
      <c r="R33" s="777" t="s">
        <v>17</v>
      </c>
      <c r="S33" s="778">
        <f t="shared" si="10"/>
        <v>100</v>
      </c>
      <c r="T33" s="777" t="s">
        <v>17</v>
      </c>
      <c r="U33" s="778">
        <f t="shared" si="11"/>
        <v>100</v>
      </c>
      <c r="V33" s="777" t="s">
        <v>17</v>
      </c>
      <c r="W33" s="778">
        <f t="shared" si="12"/>
        <v>100</v>
      </c>
      <c r="X33" s="779"/>
      <c r="Y33" s="3354"/>
      <c r="Z33" s="780">
        <f t="shared" si="13"/>
        <v>0</v>
      </c>
      <c r="AA33" s="1811">
        <f t="shared" si="3"/>
        <v>1</v>
      </c>
      <c r="AB33" s="1811">
        <f t="shared" si="4"/>
        <v>1</v>
      </c>
      <c r="AC33" s="1811">
        <f t="shared" si="5"/>
        <v>1</v>
      </c>
    </row>
    <row r="34" spans="1:29" ht="15">
      <c r="A34" s="440" t="s">
        <v>2556</v>
      </c>
      <c r="B34" s="456" t="s">
        <v>2744</v>
      </c>
      <c r="C34" s="679">
        <f>'数据-汇总表'!D3</f>
        <v>95897.74</v>
      </c>
      <c r="D34" s="467">
        <v>100</v>
      </c>
      <c r="E34" s="679">
        <f>土地案例!I15</f>
        <v>22731.119999999999</v>
      </c>
      <c r="F34" s="467">
        <f>LOOKUP(E34,108:108,109:109)-LOOKUP(C34,108:108,109:109)+100</f>
        <v>99</v>
      </c>
      <c r="G34" s="679">
        <f>土地案例!I40</f>
        <v>29787.37</v>
      </c>
      <c r="H34" s="467">
        <f>LOOKUP(G34,108:108,109:109)-LOOKUP(C34,108:108,109:109)+100</f>
        <v>99</v>
      </c>
      <c r="I34" s="530">
        <f>土地案例!I43</f>
        <v>13538.17</v>
      </c>
      <c r="J34" s="467">
        <f>LOOKUP(I34,108:108,109:109)-LOOKUP(C34,108:108,109:109)+100</f>
        <v>99</v>
      </c>
      <c r="K34" s="613"/>
      <c r="L34" s="1140"/>
      <c r="M34" s="1131"/>
      <c r="N34" s="1131"/>
      <c r="O34" s="1139"/>
      <c r="P34" s="3354"/>
      <c r="Q34" s="1810" t="str">
        <f>B34</f>
        <v>宗地面积</v>
      </c>
      <c r="R34" s="774" t="s">
        <v>17</v>
      </c>
      <c r="S34" s="775">
        <f t="shared" si="10"/>
        <v>99</v>
      </c>
      <c r="T34" s="774" t="s">
        <v>17</v>
      </c>
      <c r="U34" s="775">
        <f t="shared" si="11"/>
        <v>99</v>
      </c>
      <c r="V34" s="774" t="s">
        <v>17</v>
      </c>
      <c r="W34" s="775">
        <f t="shared" si="12"/>
        <v>99</v>
      </c>
      <c r="X34" s="1813"/>
      <c r="Y34" s="3354"/>
      <c r="Z34" s="1814" t="str">
        <f t="shared" si="13"/>
        <v>宗地面积</v>
      </c>
      <c r="AA34" s="1811">
        <f t="shared" si="3"/>
        <v>1.0101010101010102</v>
      </c>
      <c r="AB34" s="1811">
        <f t="shared" si="4"/>
        <v>1.0101010101010102</v>
      </c>
      <c r="AC34" s="1811">
        <f t="shared" si="5"/>
        <v>1.0101010101010102</v>
      </c>
    </row>
    <row r="35" spans="1:29" ht="15">
      <c r="A35" s="472"/>
      <c r="B35" s="422" t="s">
        <v>2745</v>
      </c>
      <c r="C35" s="2612" t="s">
        <v>3512</v>
      </c>
      <c r="D35" s="435">
        <v>100</v>
      </c>
      <c r="E35" s="2612" t="s">
        <v>3512</v>
      </c>
      <c r="F35" s="435">
        <f>SUMIF(110:110,E35,111:111)-SUMIF(110:110,C35,111:111)+100</f>
        <v>100</v>
      </c>
      <c r="G35" s="2612" t="s">
        <v>3512</v>
      </c>
      <c r="H35" s="435">
        <f>SUMIF(110:110,G35,111:111)-SUMIF(110:110,C35,111:111)+100</f>
        <v>100</v>
      </c>
      <c r="I35" s="2612" t="s">
        <v>3512</v>
      </c>
      <c r="J35" s="435">
        <f>SUMIF(110:110,I35,111:111)-SUMIF(110:110,C35,111:111)+100</f>
        <v>100</v>
      </c>
      <c r="K35" s="612">
        <v>2</v>
      </c>
      <c r="L35" s="1140"/>
      <c r="M35" s="1131"/>
      <c r="N35" s="1131"/>
      <c r="O35" s="1139"/>
      <c r="P35" s="3354"/>
      <c r="Q35" s="1810" t="str">
        <f t="shared" ref="Q35:Q40" si="14">B35</f>
        <v>宗地形状</v>
      </c>
      <c r="R35" s="774" t="s">
        <v>17</v>
      </c>
      <c r="S35" s="775">
        <f t="shared" si="10"/>
        <v>100</v>
      </c>
      <c r="T35" s="774" t="s">
        <v>17</v>
      </c>
      <c r="U35" s="775">
        <f t="shared" si="11"/>
        <v>100</v>
      </c>
      <c r="V35" s="774" t="s">
        <v>17</v>
      </c>
      <c r="W35" s="775">
        <f t="shared" si="12"/>
        <v>100</v>
      </c>
      <c r="X35" s="1813"/>
      <c r="Y35" s="3354"/>
      <c r="Z35" s="1814" t="str">
        <f t="shared" si="13"/>
        <v>宗地形状</v>
      </c>
      <c r="AA35" s="1811">
        <f t="shared" si="3"/>
        <v>1</v>
      </c>
      <c r="AB35" s="1811">
        <f t="shared" si="4"/>
        <v>1</v>
      </c>
      <c r="AC35" s="1811">
        <f t="shared" si="5"/>
        <v>1</v>
      </c>
    </row>
    <row r="36" spans="1:29" s="117" customFormat="1" ht="15">
      <c r="A36" s="473"/>
      <c r="B36" s="422" t="s">
        <v>2747</v>
      </c>
      <c r="C36" s="2701" t="s">
        <v>3514</v>
      </c>
      <c r="D36" s="136">
        <v>100</v>
      </c>
      <c r="E36" s="2701" t="s">
        <v>3514</v>
      </c>
      <c r="F36" s="435">
        <f>SUMIF(112:112,E36,113:113)-SUMIF(112:112,C36,113:113)+100</f>
        <v>100</v>
      </c>
      <c r="G36" s="2701" t="s">
        <v>3514</v>
      </c>
      <c r="H36" s="435">
        <f>SUMIF(112:112,G36,113:113)-SUMIF(112:112,C36,113:113)+100</f>
        <v>100</v>
      </c>
      <c r="I36" s="2701" t="s">
        <v>3514</v>
      </c>
      <c r="J36" s="435">
        <f>SUMIF(112:112,I36,113:113)-SUMIF(112:112,C36,113:113)+100</f>
        <v>100</v>
      </c>
      <c r="K36" s="612">
        <v>2</v>
      </c>
      <c r="L36" s="1132"/>
      <c r="M36" s="1133"/>
      <c r="N36" s="1133"/>
      <c r="O36" s="1134"/>
      <c r="P36" s="3354"/>
      <c r="Q36" s="1810" t="str">
        <f t="shared" si="14"/>
        <v>宗地开发程度</v>
      </c>
      <c r="R36" s="770" t="s">
        <v>17</v>
      </c>
      <c r="S36" s="771">
        <f t="shared" si="10"/>
        <v>100</v>
      </c>
      <c r="T36" s="770" t="s">
        <v>17</v>
      </c>
      <c r="U36" s="771">
        <f t="shared" si="11"/>
        <v>100</v>
      </c>
      <c r="V36" s="770" t="s">
        <v>17</v>
      </c>
      <c r="W36" s="771">
        <f t="shared" si="12"/>
        <v>100</v>
      </c>
      <c r="X36" s="772"/>
      <c r="Y36" s="3354"/>
      <c r="Z36" s="55" t="str">
        <f t="shared" si="13"/>
        <v>宗地开发程度</v>
      </c>
      <c r="AA36" s="773">
        <f t="shared" si="3"/>
        <v>1</v>
      </c>
      <c r="AB36" s="773">
        <f t="shared" si="4"/>
        <v>1</v>
      </c>
      <c r="AC36" s="773">
        <f t="shared" si="5"/>
        <v>1</v>
      </c>
    </row>
    <row r="37" spans="1:29" ht="15">
      <c r="A37" s="472"/>
      <c r="B37" s="422" t="s">
        <v>2748</v>
      </c>
      <c r="C37" s="2612" t="s">
        <v>3509</v>
      </c>
      <c r="D37" s="435">
        <v>100</v>
      </c>
      <c r="E37" s="2612" t="s">
        <v>3509</v>
      </c>
      <c r="F37" s="435">
        <f>SUMIF(114:114,E37,115:115)-SUMIF(114:114,C37,115:115)+100</f>
        <v>100</v>
      </c>
      <c r="G37" s="2612" t="s">
        <v>3509</v>
      </c>
      <c r="H37" s="435">
        <f>SUMIF(114:114,G37,115:115)-SUMIF(114:114,C37,115:115)+100</f>
        <v>100</v>
      </c>
      <c r="I37" s="2612" t="s">
        <v>3509</v>
      </c>
      <c r="J37" s="435">
        <f>SUMIF(114:114,I37,115:115)-SUMIF(114:114,C37,115:115)+100</f>
        <v>100</v>
      </c>
      <c r="K37" s="612">
        <v>2</v>
      </c>
      <c r="L37" s="1140"/>
      <c r="M37" s="1131"/>
      <c r="N37" s="1131"/>
      <c r="O37" s="1139"/>
      <c r="P37" s="3354" t="s">
        <v>2558</v>
      </c>
      <c r="Q37" s="1810" t="str">
        <f t="shared" si="14"/>
        <v>工程地质条件</v>
      </c>
      <c r="R37" s="774" t="s">
        <v>17</v>
      </c>
      <c r="S37" s="775">
        <f t="shared" si="10"/>
        <v>100</v>
      </c>
      <c r="T37" s="774" t="s">
        <v>17</v>
      </c>
      <c r="U37" s="775">
        <f t="shared" si="11"/>
        <v>100</v>
      </c>
      <c r="V37" s="774" t="s">
        <v>17</v>
      </c>
      <c r="W37" s="775">
        <f t="shared" si="12"/>
        <v>100</v>
      </c>
      <c r="X37" s="1813"/>
      <c r="Y37" s="3354" t="s">
        <v>2558</v>
      </c>
      <c r="Z37" s="1814" t="str">
        <f t="shared" si="13"/>
        <v>工程地质条件</v>
      </c>
      <c r="AA37" s="1811">
        <f t="shared" si="3"/>
        <v>1</v>
      </c>
      <c r="AB37" s="1811">
        <f t="shared" si="4"/>
        <v>1</v>
      </c>
      <c r="AC37" s="1811">
        <f t="shared" si="5"/>
        <v>1</v>
      </c>
    </row>
    <row r="38" spans="1:29" ht="15">
      <c r="A38" s="472"/>
      <c r="B38" s="1387"/>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354"/>
      <c r="Q38" s="1810">
        <f t="shared" si="14"/>
        <v>0</v>
      </c>
      <c r="R38" s="774" t="s">
        <v>17</v>
      </c>
      <c r="S38" s="775">
        <f t="shared" si="10"/>
        <v>100</v>
      </c>
      <c r="T38" s="774" t="s">
        <v>17</v>
      </c>
      <c r="U38" s="775">
        <f t="shared" si="11"/>
        <v>100</v>
      </c>
      <c r="V38" s="774" t="s">
        <v>17</v>
      </c>
      <c r="W38" s="775">
        <f t="shared" si="12"/>
        <v>100</v>
      </c>
      <c r="X38" s="1813"/>
      <c r="Y38" s="3354"/>
      <c r="Z38" s="1814">
        <f t="shared" si="13"/>
        <v>0</v>
      </c>
      <c r="AA38" s="1811">
        <f t="shared" si="3"/>
        <v>1</v>
      </c>
      <c r="AB38" s="1811">
        <f t="shared" si="4"/>
        <v>1</v>
      </c>
      <c r="AC38" s="1811">
        <f t="shared" si="5"/>
        <v>1</v>
      </c>
    </row>
    <row r="39" spans="1:29" ht="15">
      <c r="A39" s="472"/>
      <c r="B39" s="1387"/>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354"/>
      <c r="Q39" s="1810">
        <f t="shared" si="14"/>
        <v>0</v>
      </c>
      <c r="R39" s="774" t="s">
        <v>17</v>
      </c>
      <c r="S39" s="775">
        <f t="shared" si="10"/>
        <v>100</v>
      </c>
      <c r="T39" s="774" t="s">
        <v>17</v>
      </c>
      <c r="U39" s="775">
        <f t="shared" si="11"/>
        <v>100</v>
      </c>
      <c r="V39" s="774" t="s">
        <v>17</v>
      </c>
      <c r="W39" s="775">
        <f t="shared" si="12"/>
        <v>100</v>
      </c>
      <c r="X39" s="1813"/>
      <c r="Y39" s="3354"/>
      <c r="Z39" s="1814">
        <f t="shared" si="13"/>
        <v>0</v>
      </c>
      <c r="AA39" s="1811">
        <f t="shared" si="3"/>
        <v>1</v>
      </c>
      <c r="AB39" s="1811">
        <f t="shared" si="4"/>
        <v>1</v>
      </c>
      <c r="AC39" s="1811">
        <f t="shared" si="5"/>
        <v>1</v>
      </c>
    </row>
    <row r="40" spans="1:29" s="471" customFormat="1" ht="15.75" thickBot="1">
      <c r="A40" s="468"/>
      <c r="B40" s="1387"/>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354"/>
      <c r="Q40" s="1810">
        <f t="shared" si="14"/>
        <v>0</v>
      </c>
      <c r="R40" s="777" t="s">
        <v>17</v>
      </c>
      <c r="S40" s="778">
        <f t="shared" si="10"/>
        <v>100</v>
      </c>
      <c r="T40" s="777" t="s">
        <v>17</v>
      </c>
      <c r="U40" s="778">
        <f t="shared" si="11"/>
        <v>100</v>
      </c>
      <c r="V40" s="777" t="s">
        <v>17</v>
      </c>
      <c r="W40" s="778">
        <f t="shared" si="12"/>
        <v>100</v>
      </c>
      <c r="X40" s="779"/>
      <c r="Y40" s="3354"/>
      <c r="Z40" s="780">
        <f t="shared" si="13"/>
        <v>0</v>
      </c>
      <c r="AA40" s="1811">
        <f t="shared" si="3"/>
        <v>1</v>
      </c>
      <c r="AB40" s="1811">
        <f t="shared" si="4"/>
        <v>1</v>
      </c>
      <c r="AC40" s="1811">
        <f t="shared" si="5"/>
        <v>1</v>
      </c>
    </row>
    <row r="41" spans="1:29" ht="15">
      <c r="A41" s="479" t="s">
        <v>2713</v>
      </c>
      <c r="B41" s="2703" t="s">
        <v>3502</v>
      </c>
      <c r="C41" s="682" t="s">
        <v>1</v>
      </c>
      <c r="D41" s="481"/>
      <c r="E41" s="482">
        <v>3182</v>
      </c>
      <c r="F41" s="483"/>
      <c r="G41" s="484">
        <v>2976</v>
      </c>
      <c r="H41" s="485"/>
      <c r="I41" s="482">
        <v>3211</v>
      </c>
      <c r="J41" s="485"/>
      <c r="K41" s="783"/>
      <c r="L41" s="1143"/>
      <c r="M41" s="1131"/>
      <c r="N41" s="1131"/>
      <c r="O41" s="1144"/>
      <c r="P41" s="3348" t="str">
        <f>A41</f>
        <v>成交单价</v>
      </c>
      <c r="Q41" s="3348"/>
      <c r="R41" s="3350">
        <f>E41</f>
        <v>3182</v>
      </c>
      <c r="S41" s="3350"/>
      <c r="T41" s="3350">
        <f>G41</f>
        <v>2976</v>
      </c>
      <c r="U41" s="3350"/>
      <c r="V41" s="3350">
        <f>I41</f>
        <v>3211</v>
      </c>
      <c r="W41" s="3350"/>
      <c r="X41" s="759"/>
      <c r="Y41" s="781"/>
      <c r="Z41" s="759"/>
      <c r="AA41" s="759"/>
      <c r="AB41" s="759"/>
      <c r="AC41" s="759"/>
    </row>
    <row r="42" spans="1:29" ht="15.75" thickBot="1">
      <c r="A42" s="486" t="s">
        <v>2662</v>
      </c>
      <c r="B42" s="683"/>
      <c r="C42" s="490">
        <f>R43</f>
        <v>2699</v>
      </c>
      <c r="D42" s="489"/>
      <c r="E42" s="490">
        <f>R42</f>
        <v>2961</v>
      </c>
      <c r="F42" s="491"/>
      <c r="G42" s="488">
        <f>T42</f>
        <v>2658</v>
      </c>
      <c r="H42" s="489"/>
      <c r="I42" s="490">
        <f>V42</f>
        <v>2477</v>
      </c>
      <c r="J42" s="489"/>
      <c r="K42" s="784"/>
      <c r="L42" s="1143"/>
      <c r="M42" s="1131"/>
      <c r="N42" s="1131"/>
      <c r="O42" s="1144"/>
      <c r="P42" s="3348" t="str">
        <f>A42</f>
        <v>比较价值（元/平方米）</v>
      </c>
      <c r="Q42" s="3348"/>
      <c r="R42" s="3349">
        <f>ROUND(PRODUCT(R41,AA7:AA40),0)</f>
        <v>2961</v>
      </c>
      <c r="S42" s="3349"/>
      <c r="T42" s="3349">
        <f>ROUND(PRODUCT(T41,AB7:AB40),0)</f>
        <v>2658</v>
      </c>
      <c r="U42" s="3349"/>
      <c r="V42" s="3349">
        <f>ROUND(PRODUCT(V41,AC7:AC40),0)</f>
        <v>2477</v>
      </c>
      <c r="W42" s="3349"/>
      <c r="X42" s="759"/>
      <c r="Y42" s="759"/>
      <c r="Z42" s="759"/>
      <c r="AA42" s="759"/>
      <c r="AB42" s="759"/>
      <c r="AC42" s="759"/>
    </row>
    <row r="43" spans="1:29" ht="15.75" thickBot="1">
      <c r="A43" s="492" t="s">
        <v>2663</v>
      </c>
      <c r="B43" s="493"/>
      <c r="C43" s="494">
        <f>R43</f>
        <v>2699</v>
      </c>
      <c r="D43" s="494"/>
      <c r="E43" s="494"/>
      <c r="F43" s="494"/>
      <c r="G43" s="494"/>
      <c r="H43" s="494"/>
      <c r="I43" s="494"/>
      <c r="J43" s="494"/>
      <c r="K43" s="785"/>
      <c r="L43" s="1143"/>
      <c r="M43" s="1131"/>
      <c r="N43" s="1131"/>
      <c r="O43" s="1144"/>
      <c r="P43" s="3345" t="str">
        <f>A43</f>
        <v>估价对象XX用房的比较价值（楼面单价，元/平方米）</v>
      </c>
      <c r="Q43" s="3346"/>
      <c r="R43" s="3347">
        <f>ROUND(AVERAGE(R42:V42),0)</f>
        <v>2699</v>
      </c>
      <c r="S43" s="3347"/>
      <c r="T43" s="3347"/>
      <c r="U43" s="3347"/>
      <c r="V43" s="3347"/>
      <c r="W43" s="3347"/>
      <c r="X43" s="759"/>
      <c r="Y43" s="759"/>
      <c r="Z43" s="759"/>
      <c r="AA43" s="759"/>
      <c r="AB43" s="759"/>
      <c r="AC43" s="759"/>
    </row>
    <row r="44" spans="1:29">
      <c r="A44" s="1144"/>
      <c r="B44" s="1144"/>
      <c r="C44" s="1144"/>
      <c r="D44" s="1144"/>
      <c r="E44" s="1144"/>
      <c r="F44" s="1144"/>
      <c r="G44" s="1147" t="s">
        <v>7035</v>
      </c>
      <c r="H44" s="1144"/>
      <c r="I44" s="1144" t="s">
        <v>7037</v>
      </c>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2664</v>
      </c>
      <c r="D46" s="498"/>
      <c r="E46" s="499">
        <f>IF(E41&lt;E42,E42/E41-1,E41/E42-1)</f>
        <v>7.4636946977372443E-2</v>
      </c>
      <c r="F46" s="500" t="str">
        <f>IF(OR(E46&gt;=0.3,E46&lt;=-0.3),"超过30%","")</f>
        <v/>
      </c>
      <c r="G46" s="499">
        <f>IF(G41&lt;G42,G42/G41-1,G41/G42-1)</f>
        <v>0.11963882618510158</v>
      </c>
      <c r="H46" s="500" t="str">
        <f>IF(OR(G46&gt;=0.3,G46&lt;=-0.3),"超过30%","")</f>
        <v/>
      </c>
      <c r="I46" s="499">
        <f>IF(I41&lt;I42,I42/I41-1,I41/I42-1)</f>
        <v>0.29632620104965679</v>
      </c>
      <c r="J46" s="500" t="str">
        <f>IF(OR(I46&gt;=0.3,I46&lt;=-0.3),"超过30%","")</f>
        <v/>
      </c>
      <c r="K46" s="1105"/>
      <c r="L46" s="1106"/>
      <c r="M46" s="1131"/>
      <c r="N46" s="1131"/>
      <c r="O46" s="1144"/>
    </row>
    <row r="47" spans="1:29" ht="13.5" customHeight="1">
      <c r="A47" s="1144"/>
      <c r="B47" s="1144"/>
      <c r="C47" s="497" t="s">
        <v>2665</v>
      </c>
      <c r="D47" s="501"/>
      <c r="E47" s="499">
        <f>IF(E42&lt;G42,G42/E42-1,E42/G42-1)</f>
        <v>0.11399548532731374</v>
      </c>
      <c r="F47" s="500" t="str">
        <f>IF(OR(E47&gt;=0.2,E47&lt;=-0.2),"超过20%","")</f>
        <v/>
      </c>
      <c r="G47" s="499">
        <f>IF(G42&lt;I42,I42/G42-1,G42/I42-1)</f>
        <v>7.307226483649587E-2</v>
      </c>
      <c r="H47" s="500" t="str">
        <f>IF(OR(G47&gt;=0.2,G47&lt;=-0.2),"超过20%","")</f>
        <v/>
      </c>
      <c r="I47" s="499">
        <f>IF(I42&lt;E42,E42/I42-1,I42/E42-1)</f>
        <v>0.19539765845781187</v>
      </c>
      <c r="J47" s="500" t="str">
        <f>IF(OR(I47&gt;=0.2,I47&lt;=-0.2),"超过20%","")</f>
        <v/>
      </c>
      <c r="K47" s="1105"/>
      <c r="L47" s="1106"/>
      <c r="M47" s="1144"/>
      <c r="N47" s="1144"/>
      <c r="O47" s="1144"/>
    </row>
    <row r="48" spans="1:29" s="502" customFormat="1" ht="13.5" customHeight="1">
      <c r="A48" s="1145"/>
      <c r="B48" s="1145"/>
      <c r="C48" s="497" t="s">
        <v>2666</v>
      </c>
      <c r="D48" s="501"/>
      <c r="E48" s="499">
        <f>IF(E41&lt;G41,G41/E41-1,E41/G41-1)</f>
        <v>6.9220430107526987E-2</v>
      </c>
      <c r="F48" s="500" t="str">
        <f>IF(OR(E48&gt;=0.3,E48&lt;=-0.3),"超过30%","")</f>
        <v/>
      </c>
      <c r="G48" s="499">
        <f>IF(G41&lt;I41,I41/G41-1,G41/I41-1)</f>
        <v>7.8965053763440762E-2</v>
      </c>
      <c r="H48" s="500" t="str">
        <f>IF(OR(G48&gt;=0.3,G48&lt;=-0.3),"超过30%","")</f>
        <v/>
      </c>
      <c r="I48" s="499">
        <f>IF(I41&lt;E41,E41/I41-1,I41/E41-1)</f>
        <v>9.1137649277184263E-3</v>
      </c>
      <c r="J48" s="500" t="str">
        <f>IF(OR(I48&gt;=0.3,I48&lt;=-0.3),"超过30%","")</f>
        <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40.5">
      <c r="A50" s="684" t="s">
        <v>2751</v>
      </c>
      <c r="B50" s="685" t="s">
        <v>2752</v>
      </c>
      <c r="C50" s="2704" t="s">
        <v>2753</v>
      </c>
      <c r="D50" s="2705" t="s">
        <v>2754</v>
      </c>
      <c r="E50" s="686" t="s">
        <v>2755</v>
      </c>
      <c r="F50" s="687" t="s">
        <v>2756</v>
      </c>
      <c r="G50" s="3358" t="s">
        <v>2757</v>
      </c>
      <c r="H50" s="3372"/>
      <c r="I50" s="1814" t="s">
        <v>2793</v>
      </c>
      <c r="J50" s="1814" t="str">
        <f>项目基本情况!F35</f>
        <v>广东省</v>
      </c>
      <c r="K50" s="2707" t="s">
        <v>2759</v>
      </c>
      <c r="L50" s="1106"/>
      <c r="M50" s="1144"/>
      <c r="N50" s="1144"/>
      <c r="O50" s="1144"/>
    </row>
    <row r="51" spans="1:17" s="692" customFormat="1">
      <c r="A51" s="688" t="s">
        <v>2760</v>
      </c>
      <c r="B51" s="689">
        <f>C43</f>
        <v>2699</v>
      </c>
      <c r="C51" s="690">
        <v>1</v>
      </c>
      <c r="D51" s="1163">
        <v>1</v>
      </c>
      <c r="E51" s="690">
        <f>'数据-汇总表'!E8+'数据-汇总表'!E9</f>
        <v>192636.23</v>
      </c>
      <c r="F51" s="691">
        <f t="shared" ref="F51:F60" si="15">ROUND(B51*E51/10000,0)</f>
        <v>51993</v>
      </c>
      <c r="G51" s="3373"/>
      <c r="H51" s="3348"/>
      <c r="I51" s="942">
        <v>1</v>
      </c>
      <c r="J51" s="942">
        <v>1</v>
      </c>
      <c r="K51" s="1145"/>
      <c r="L51" s="941"/>
      <c r="M51" s="941"/>
      <c r="N51" s="941"/>
      <c r="O51" s="941"/>
    </row>
    <row r="52" spans="1:17" s="692" customFormat="1">
      <c r="A52" s="693" t="s">
        <v>2761</v>
      </c>
      <c r="B52" s="262">
        <f>ROUND($C$43*C52*D52,0)</f>
        <v>0</v>
      </c>
      <c r="C52" s="200">
        <f t="shared" ref="C52:C60" si="16">IF($C$50="北京市系数",I52,J52)</f>
        <v>0</v>
      </c>
      <c r="D52" s="1164">
        <v>0.25</v>
      </c>
      <c r="E52" s="694"/>
      <c r="F52" s="691">
        <f t="shared" si="15"/>
        <v>0</v>
      </c>
      <c r="G52" s="3374" t="s">
        <v>2762</v>
      </c>
      <c r="H52" s="1104">
        <f>项目基本情况!B37</f>
        <v>0</v>
      </c>
      <c r="I52" s="942">
        <f>SUMIF(修正!A45:A56,H52,修正!B45:B56)</f>
        <v>0</v>
      </c>
      <c r="J52" s="943"/>
      <c r="K52" s="1144"/>
      <c r="L52" s="941"/>
      <c r="M52" s="941"/>
      <c r="N52" s="941"/>
      <c r="O52" s="941"/>
    </row>
    <row r="53" spans="1:17" s="692" customFormat="1">
      <c r="A53" s="693" t="s">
        <v>2763</v>
      </c>
      <c r="B53" s="262">
        <f t="shared" ref="B53:B60" si="17">ROUND($C$43*C53*D53,0)</f>
        <v>0</v>
      </c>
      <c r="C53" s="200">
        <f t="shared" si="16"/>
        <v>0</v>
      </c>
      <c r="D53" s="1164">
        <v>0.25</v>
      </c>
      <c r="E53" s="694"/>
      <c r="F53" s="691">
        <f t="shared" si="15"/>
        <v>0</v>
      </c>
      <c r="G53" s="3374"/>
      <c r="H53" s="1104">
        <f>项目基本情况!B37</f>
        <v>0</v>
      </c>
      <c r="I53" s="942">
        <f>SUMIF(修正!A45:A56,H53,修正!C45:C56)</f>
        <v>0</v>
      </c>
      <c r="J53" s="943"/>
      <c r="K53" s="1145"/>
      <c r="L53" s="941"/>
      <c r="M53" s="941"/>
      <c r="N53" s="941"/>
      <c r="O53" s="941"/>
    </row>
    <row r="54" spans="1:17" s="692" customFormat="1">
      <c r="A54" s="693" t="s">
        <v>2764</v>
      </c>
      <c r="B54" s="262">
        <f t="shared" si="17"/>
        <v>0</v>
      </c>
      <c r="C54" s="200">
        <f t="shared" si="16"/>
        <v>0</v>
      </c>
      <c r="D54" s="1164">
        <v>0.25</v>
      </c>
      <c r="E54" s="694"/>
      <c r="F54" s="691">
        <f t="shared" si="15"/>
        <v>0</v>
      </c>
      <c r="G54" s="3374"/>
      <c r="H54" s="1104">
        <f>项目基本情况!B37</f>
        <v>0</v>
      </c>
      <c r="I54" s="942">
        <f>SUMIF(修正!A45:A56,H54,修正!D45:D56)</f>
        <v>0</v>
      </c>
      <c r="J54" s="943"/>
      <c r="K54" s="1144"/>
      <c r="L54" s="941"/>
      <c r="M54" s="941"/>
      <c r="N54" s="941"/>
      <c r="O54" s="941"/>
    </row>
    <row r="55" spans="1:17" s="692" customFormat="1">
      <c r="A55" s="693" t="s">
        <v>2765</v>
      </c>
      <c r="B55" s="262">
        <f t="shared" si="17"/>
        <v>0</v>
      </c>
      <c r="C55" s="200">
        <f t="shared" si="16"/>
        <v>0</v>
      </c>
      <c r="D55" s="1164">
        <v>0.25</v>
      </c>
      <c r="E55" s="694"/>
      <c r="F55" s="691">
        <f t="shared" si="15"/>
        <v>0</v>
      </c>
      <c r="G55" s="3374"/>
      <c r="H55" s="1104">
        <f>项目基本情况!B37</f>
        <v>0</v>
      </c>
      <c r="I55" s="942">
        <f>SUMIF(修正!A45:A56,H55,修正!E45:E56)</f>
        <v>0</v>
      </c>
      <c r="J55" s="943"/>
      <c r="K55" s="1145"/>
      <c r="L55" s="941"/>
      <c r="M55" s="941"/>
      <c r="N55" s="941"/>
      <c r="O55" s="941"/>
    </row>
    <row r="56" spans="1:17" s="692" customFormat="1">
      <c r="A56" s="693" t="s">
        <v>2766</v>
      </c>
      <c r="B56" s="262">
        <f t="shared" si="17"/>
        <v>0</v>
      </c>
      <c r="C56" s="200">
        <f t="shared" si="16"/>
        <v>0</v>
      </c>
      <c r="D56" s="1164">
        <v>0.25</v>
      </c>
      <c r="E56" s="261">
        <f>'数据-汇总表'!E11</f>
        <v>0</v>
      </c>
      <c r="F56" s="691">
        <f t="shared" si="15"/>
        <v>0</v>
      </c>
      <c r="G56" s="2708" t="s">
        <v>2767</v>
      </c>
      <c r="H56" s="1104">
        <f>项目基本情况!C37</f>
        <v>0</v>
      </c>
      <c r="I56" s="942">
        <f>SUMIF(修正!A45:A56,H56,修正!F45:F56)</f>
        <v>0</v>
      </c>
      <c r="J56" s="943"/>
      <c r="K56" s="1144"/>
      <c r="L56" s="941"/>
      <c r="M56" s="941"/>
      <c r="N56" s="941"/>
      <c r="O56" s="941"/>
    </row>
    <row r="57" spans="1:17" s="692" customFormat="1">
      <c r="A57" s="693" t="s">
        <v>2768</v>
      </c>
      <c r="B57" s="262">
        <f t="shared" si="17"/>
        <v>0</v>
      </c>
      <c r="C57" s="200">
        <f t="shared" si="16"/>
        <v>0</v>
      </c>
      <c r="D57" s="1164">
        <v>0.25</v>
      </c>
      <c r="E57" s="261">
        <f>'数据-汇总表'!E12</f>
        <v>0</v>
      </c>
      <c r="F57" s="691">
        <f t="shared" si="15"/>
        <v>0</v>
      </c>
      <c r="G57" s="1109" t="s">
        <v>2769</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2770</v>
      </c>
      <c r="B58" s="262">
        <f t="shared" si="17"/>
        <v>0</v>
      </c>
      <c r="C58" s="200">
        <f t="shared" si="16"/>
        <v>0</v>
      </c>
      <c r="D58" s="1164">
        <v>0.25</v>
      </c>
      <c r="E58" s="261">
        <f>'数据-汇总表'!E13</f>
        <v>0</v>
      </c>
      <c r="F58" s="691">
        <f t="shared" si="15"/>
        <v>0</v>
      </c>
      <c r="G58" s="1109" t="s">
        <v>2771</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2772</v>
      </c>
      <c r="B59" s="262">
        <f t="shared" si="17"/>
        <v>0</v>
      </c>
      <c r="C59" s="200">
        <f t="shared" si="16"/>
        <v>0</v>
      </c>
      <c r="D59" s="1164">
        <v>0.25</v>
      </c>
      <c r="E59" s="261">
        <f>'数据-汇总表'!E14</f>
        <v>0</v>
      </c>
      <c r="F59" s="691">
        <f t="shared" si="15"/>
        <v>0</v>
      </c>
      <c r="G59" s="2708" t="s">
        <v>2762</v>
      </c>
      <c r="H59" s="1104">
        <f>项目基本情况!B37</f>
        <v>0</v>
      </c>
      <c r="I59" s="942">
        <f>SUMIF(修正!A45:A56,H59,修正!H45:H56)</f>
        <v>0</v>
      </c>
      <c r="J59" s="943"/>
      <c r="K59" s="1145"/>
      <c r="L59" s="941"/>
      <c r="M59" s="941"/>
      <c r="N59" s="941"/>
      <c r="O59" s="941"/>
    </row>
    <row r="60" spans="1:17" s="692" customFormat="1" ht="15" thickBot="1">
      <c r="A60" s="693" t="s">
        <v>2773</v>
      </c>
      <c r="B60" s="262">
        <f t="shared" si="17"/>
        <v>0</v>
      </c>
      <c r="C60" s="200">
        <f t="shared" si="16"/>
        <v>0</v>
      </c>
      <c r="D60" s="1164">
        <v>0.25</v>
      </c>
      <c r="E60" s="261">
        <f>'数据-汇总表'!E15</f>
        <v>0</v>
      </c>
      <c r="F60" s="691">
        <f t="shared" si="15"/>
        <v>0</v>
      </c>
      <c r="G60" s="2709" t="s">
        <v>2767</v>
      </c>
      <c r="H60" s="1114">
        <f>项目基本情况!C37</f>
        <v>0</v>
      </c>
      <c r="I60" s="942">
        <f>SUMIF(修正!A45:A56,H60,修正!H45:H56)</f>
        <v>0</v>
      </c>
      <c r="J60" s="943"/>
      <c r="K60" s="1144"/>
      <c r="L60" s="941"/>
      <c r="M60" s="941"/>
      <c r="N60" s="941"/>
      <c r="O60" s="941"/>
    </row>
    <row r="61" spans="1:17" s="692" customFormat="1" ht="15" thickBot="1">
      <c r="A61" s="695" t="s">
        <v>2774</v>
      </c>
      <c r="B61" s="696" t="s">
        <v>28</v>
      </c>
      <c r="C61" s="696" t="s">
        <v>29</v>
      </c>
      <c r="D61" s="696" t="s">
        <v>1026</v>
      </c>
      <c r="E61" s="696">
        <f>IF(B41="楼面地价",SUM(E51:E60),'数据-汇总表'!D3)</f>
        <v>192636.23</v>
      </c>
      <c r="F61" s="697">
        <f>IF(B41="楼面地价",SUM(F51:F60),ROUND(C43*E61/10000,0))</f>
        <v>51993</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2019-3-1</v>
      </c>
      <c r="D63" s="761">
        <f>EDATE(C63,-3)</f>
        <v>43435</v>
      </c>
      <c r="E63" s="761">
        <f>EDATE(D63,-3)</f>
        <v>43344</v>
      </c>
      <c r="F63" s="761">
        <f t="shared" ref="F63:O63" si="18">EDATE(E63,-3)</f>
        <v>43252</v>
      </c>
      <c r="G63" s="761">
        <f t="shared" si="18"/>
        <v>43160</v>
      </c>
      <c r="H63" s="761">
        <f t="shared" si="18"/>
        <v>43070</v>
      </c>
      <c r="I63" s="761">
        <f t="shared" si="18"/>
        <v>42979</v>
      </c>
      <c r="J63" s="761">
        <f t="shared" si="18"/>
        <v>42887</v>
      </c>
      <c r="K63" s="761">
        <f t="shared" si="18"/>
        <v>42795</v>
      </c>
      <c r="L63" s="761">
        <f t="shared" si="18"/>
        <v>42705</v>
      </c>
      <c r="M63" s="761">
        <f t="shared" si="18"/>
        <v>42614</v>
      </c>
      <c r="N63" s="761">
        <f t="shared" si="18"/>
        <v>42522</v>
      </c>
      <c r="O63" s="761">
        <f t="shared" si="18"/>
        <v>42430</v>
      </c>
    </row>
    <row r="64" spans="1:17" ht="21.75" thickBot="1">
      <c r="A64" s="763" t="s">
        <v>2667</v>
      </c>
      <c r="B64" s="759"/>
      <c r="C64" s="764"/>
      <c r="D64" s="764"/>
      <c r="E64" s="764"/>
      <c r="F64" s="765"/>
      <c r="G64" s="765"/>
      <c r="H64" s="764"/>
      <c r="I64" s="764"/>
      <c r="J64" s="764"/>
      <c r="K64" s="766"/>
      <c r="L64" s="767"/>
      <c r="M64" s="764"/>
      <c r="N64" s="764"/>
      <c r="O64" s="1159"/>
      <c r="P64" s="503"/>
      <c r="Q64" s="504"/>
    </row>
    <row r="65" spans="1:17" s="508" customFormat="1" ht="15">
      <c r="A65" s="2710" t="s">
        <v>2775</v>
      </c>
      <c r="B65" s="1359"/>
      <c r="C65" s="1572" t="str">
        <f>YEAR(C63)&amp;"-"&amp;ROUNDUP(MONTH(C63)/3,0)</f>
        <v>2019-1</v>
      </c>
      <c r="D65" s="1572" t="str">
        <f t="shared" ref="D65:O65" si="19">YEAR(D63)&amp;"-"&amp;ROUNDUP(MONTH(D63)/3,0)</f>
        <v>2018-4</v>
      </c>
      <c r="E65" s="1572" t="str">
        <f t="shared" si="19"/>
        <v>2018-3</v>
      </c>
      <c r="F65" s="1572" t="str">
        <f t="shared" si="19"/>
        <v>2018-2</v>
      </c>
      <c r="G65" s="1572" t="str">
        <f t="shared" si="19"/>
        <v>2018-1</v>
      </c>
      <c r="H65" s="1572" t="str">
        <f t="shared" si="19"/>
        <v>2017-4</v>
      </c>
      <c r="I65" s="1572" t="str">
        <f t="shared" si="19"/>
        <v>2017-3</v>
      </c>
      <c r="J65" s="1572" t="str">
        <f t="shared" si="19"/>
        <v>2017-2</v>
      </c>
      <c r="K65" s="1572" t="str">
        <f t="shared" si="19"/>
        <v>2017-1</v>
      </c>
      <c r="L65" s="1572" t="str">
        <f t="shared" si="19"/>
        <v>2016-4</v>
      </c>
      <c r="M65" s="1572" t="str">
        <f t="shared" si="19"/>
        <v>2016-3</v>
      </c>
      <c r="N65" s="1572" t="str">
        <f t="shared" si="19"/>
        <v>2016-2</v>
      </c>
      <c r="O65" s="1572" t="str">
        <f t="shared" si="19"/>
        <v>2016-1</v>
      </c>
      <c r="P65" s="507"/>
    </row>
    <row r="66" spans="1:17" s="117" customFormat="1" ht="30.75" customHeight="1">
      <c r="A66" s="2715" t="s">
        <v>2794</v>
      </c>
      <c r="B66" s="332" t="str">
        <f>"北京市平均增长率"&amp;TEXT(基准地价修正!P24,"0.00%")</f>
        <v>北京市平均增长率1.42%</v>
      </c>
      <c r="C66" s="603">
        <v>100</v>
      </c>
      <c r="D66" s="595">
        <f>C66-$C$67</f>
        <v>99</v>
      </c>
      <c r="E66" s="595">
        <f t="shared" ref="E66:O66" si="20">D66-$C$67</f>
        <v>98</v>
      </c>
      <c r="F66" s="595">
        <f t="shared" si="20"/>
        <v>97</v>
      </c>
      <c r="G66" s="595">
        <f t="shared" si="20"/>
        <v>96</v>
      </c>
      <c r="H66" s="595">
        <f t="shared" si="20"/>
        <v>95</v>
      </c>
      <c r="I66" s="595">
        <f t="shared" si="20"/>
        <v>94</v>
      </c>
      <c r="J66" s="595">
        <f t="shared" si="20"/>
        <v>93</v>
      </c>
      <c r="K66" s="595">
        <f t="shared" si="20"/>
        <v>92</v>
      </c>
      <c r="L66" s="595">
        <f t="shared" si="20"/>
        <v>91</v>
      </c>
      <c r="M66" s="595">
        <f t="shared" si="20"/>
        <v>90</v>
      </c>
      <c r="N66" s="595">
        <f t="shared" si="20"/>
        <v>89</v>
      </c>
      <c r="O66" s="595">
        <f t="shared" si="20"/>
        <v>88</v>
      </c>
      <c r="P66" s="504"/>
    </row>
    <row r="67" spans="1:17" s="117" customFormat="1" ht="15.75" thickBot="1">
      <c r="A67" s="515" t="s">
        <v>2578</v>
      </c>
      <c r="B67" s="516"/>
      <c r="C67" s="517">
        <v>1</v>
      </c>
      <c r="D67" s="518"/>
      <c r="E67" s="518"/>
      <c r="F67" s="518"/>
      <c r="G67" s="518"/>
      <c r="H67" s="518"/>
      <c r="I67" s="518"/>
      <c r="J67" s="518"/>
      <c r="K67" s="518"/>
      <c r="L67" s="518"/>
      <c r="M67" s="519"/>
      <c r="N67" s="519"/>
      <c r="O67" s="520"/>
      <c r="P67" s="504"/>
      <c r="Q67" s="504"/>
    </row>
    <row r="68" spans="1:17" s="117" customFormat="1" ht="15">
      <c r="A68" s="521" t="s">
        <v>2543</v>
      </c>
      <c r="B68" s="510"/>
      <c r="C68" s="522" t="s">
        <v>2645</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ht="42.75">
      <c r="A70" s="527" t="s">
        <v>2581</v>
      </c>
      <c r="B70" s="528" t="s">
        <v>2547</v>
      </c>
      <c r="C70" s="530" t="str">
        <f>抵押物情况汇总!G6</f>
        <v>工业仓储</v>
      </c>
      <c r="D70" s="530" t="str">
        <f>土地案例!H15</f>
        <v>一类工业用地</v>
      </c>
      <c r="E70" s="530" t="str">
        <f>土地案例!H40</f>
        <v>工业用地</v>
      </c>
      <c r="F70" s="530" t="str">
        <f>土地案例!H43</f>
        <v>工业用地(新型产业用地)</v>
      </c>
      <c r="G70" s="530"/>
      <c r="H70" s="530"/>
      <c r="I70" s="530"/>
      <c r="J70" s="530"/>
      <c r="K70" s="531"/>
      <c r="L70" s="532"/>
      <c r="M70" s="533"/>
      <c r="N70" s="1152"/>
      <c r="O70" s="1152"/>
      <c r="P70" s="45"/>
      <c r="Q70" s="504"/>
    </row>
    <row r="71" spans="1:17" ht="15.75" thickBot="1">
      <c r="A71" s="534"/>
      <c r="B71" s="535"/>
      <c r="C71" s="536">
        <v>100</v>
      </c>
      <c r="D71" s="536">
        <v>100</v>
      </c>
      <c r="E71" s="536">
        <v>100</v>
      </c>
      <c r="F71" s="536">
        <v>100</v>
      </c>
      <c r="G71" s="536"/>
      <c r="H71" s="536"/>
      <c r="I71" s="536"/>
      <c r="J71" s="536"/>
      <c r="K71" s="536"/>
      <c r="L71" s="536"/>
      <c r="M71" s="537"/>
      <c r="N71" s="1153"/>
      <c r="O71" s="1153"/>
      <c r="P71" s="45"/>
      <c r="Q71" s="504"/>
    </row>
    <row r="72" spans="1:17" ht="27.75" thickTop="1">
      <c r="A72" s="534"/>
      <c r="B72" s="538" t="s">
        <v>2550</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29.25" thickTop="1">
      <c r="A74" s="534"/>
      <c r="B74" s="546" t="s">
        <v>2551</v>
      </c>
      <c r="C74" s="547" t="str">
        <f>C75&amp;"（含）"&amp;"-"&amp;D75</f>
        <v>1（含）-2</v>
      </c>
      <c r="D74" s="547" t="str">
        <f t="shared" ref="D74:L74" si="21">D75&amp;"（含）"&amp;"-"&amp;E75</f>
        <v>2（含）-3</v>
      </c>
      <c r="E74" s="547" t="str">
        <f t="shared" si="21"/>
        <v>3（含）-4</v>
      </c>
      <c r="F74" s="547" t="str">
        <f t="shared" si="21"/>
        <v>4（含）-5</v>
      </c>
      <c r="G74" s="547" t="str">
        <f t="shared" si="21"/>
        <v>5（含）-</v>
      </c>
      <c r="H74" s="547" t="str">
        <f t="shared" si="21"/>
        <v>（含）-</v>
      </c>
      <c r="I74" s="547" t="str">
        <f t="shared" si="21"/>
        <v>（含）-</v>
      </c>
      <c r="J74" s="547" t="str">
        <f t="shared" si="21"/>
        <v>（含）-</v>
      </c>
      <c r="K74" s="547" t="str">
        <f t="shared" si="21"/>
        <v>（含）-</v>
      </c>
      <c r="L74" s="547" t="str">
        <f t="shared" si="21"/>
        <v>（含）-</v>
      </c>
      <c r="M74" s="448" t="str">
        <f>M75&amp;"（含）"&amp;"-"&amp;P75</f>
        <v>（含）-</v>
      </c>
      <c r="N74" s="1153"/>
      <c r="O74" s="1153"/>
      <c r="P74" s="45"/>
      <c r="Q74" s="504"/>
    </row>
    <row r="75" spans="1:17" ht="15">
      <c r="A75" s="534"/>
      <c r="B75" s="548"/>
      <c r="C75" s="549">
        <v>1</v>
      </c>
      <c r="D75" s="549">
        <v>2</v>
      </c>
      <c r="E75" s="549">
        <v>3</v>
      </c>
      <c r="F75" s="549">
        <v>4</v>
      </c>
      <c r="G75" s="549">
        <v>5</v>
      </c>
      <c r="H75" s="549"/>
      <c r="I75" s="549"/>
      <c r="J75" s="549"/>
      <c r="K75" s="550"/>
      <c r="L75" s="551"/>
      <c r="M75" s="552"/>
      <c r="N75" s="1152"/>
      <c r="O75" s="1152"/>
      <c r="P75" s="45"/>
      <c r="Q75" s="504"/>
    </row>
    <row r="76" spans="1:17" ht="15.75" thickBot="1">
      <c r="A76" s="534"/>
      <c r="B76" s="535"/>
      <c r="C76" s="544">
        <v>100</v>
      </c>
      <c r="D76" s="544">
        <f>IF($B$41="单位面积地价",C76+$K11,C76-$K11)</f>
        <v>95</v>
      </c>
      <c r="E76" s="544">
        <f t="shared" ref="E76:M76" si="22">IF($B$41="单位面积地价",D76+$K11,D76-$K11)</f>
        <v>90</v>
      </c>
      <c r="F76" s="544">
        <f t="shared" si="22"/>
        <v>85</v>
      </c>
      <c r="G76" s="544">
        <f t="shared" si="22"/>
        <v>80</v>
      </c>
      <c r="H76" s="544">
        <f t="shared" si="22"/>
        <v>75</v>
      </c>
      <c r="I76" s="544">
        <f t="shared" si="22"/>
        <v>70</v>
      </c>
      <c r="J76" s="544">
        <f t="shared" si="22"/>
        <v>65</v>
      </c>
      <c r="K76" s="544">
        <f t="shared" si="22"/>
        <v>60</v>
      </c>
      <c r="L76" s="544">
        <f t="shared" si="22"/>
        <v>55</v>
      </c>
      <c r="M76" s="544">
        <f t="shared" si="22"/>
        <v>50</v>
      </c>
      <c r="N76" s="1153"/>
      <c r="O76" s="1153"/>
      <c r="P76" s="45"/>
      <c r="Q76" s="504"/>
    </row>
    <row r="77" spans="1:17" s="471" customFormat="1" ht="15.75" thickTop="1">
      <c r="A77" s="553"/>
      <c r="B77" s="538" t="str">
        <f>B12</f>
        <v>准入产业类别</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0</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0</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2552</v>
      </c>
      <c r="B83" s="528" t="s">
        <v>2698</v>
      </c>
      <c r="C83" s="573" t="s">
        <v>2590</v>
      </c>
      <c r="D83" s="573" t="s">
        <v>2591</v>
      </c>
      <c r="E83" s="573" t="s">
        <v>2592</v>
      </c>
      <c r="F83" s="573" t="s">
        <v>2593</v>
      </c>
      <c r="G83" s="573" t="s">
        <v>2594</v>
      </c>
      <c r="H83" s="529"/>
      <c r="I83" s="529"/>
      <c r="J83" s="529"/>
      <c r="K83" s="574"/>
      <c r="L83" s="575"/>
      <c r="M83" s="576"/>
      <c r="N83" s="1152"/>
      <c r="O83" s="1152"/>
      <c r="P83" s="577"/>
      <c r="Q83" s="504"/>
    </row>
    <row r="84" spans="1:17" ht="15.75" thickBot="1">
      <c r="A84" s="534"/>
      <c r="B84" s="543"/>
      <c r="C84" s="544">
        <v>100</v>
      </c>
      <c r="D84" s="544">
        <f>C84-$K15</f>
        <v>97</v>
      </c>
      <c r="E84" s="544">
        <f>D84-$K15</f>
        <v>94</v>
      </c>
      <c r="F84" s="544">
        <f>E84-$K15</f>
        <v>91</v>
      </c>
      <c r="G84" s="544">
        <f>F84-$K15</f>
        <v>88</v>
      </c>
      <c r="H84" s="544"/>
      <c r="I84" s="544"/>
      <c r="J84" s="544"/>
      <c r="K84" s="544"/>
      <c r="L84" s="544"/>
      <c r="M84" s="545"/>
      <c r="N84" s="1153"/>
      <c r="O84" s="1153"/>
      <c r="P84" s="45"/>
      <c r="Q84" s="504"/>
    </row>
    <row r="85" spans="1:17" ht="15.75" thickTop="1">
      <c r="A85" s="534"/>
      <c r="B85" s="538" t="s">
        <v>2595</v>
      </c>
      <c r="C85" s="578" t="s">
        <v>2590</v>
      </c>
      <c r="D85" s="578" t="s">
        <v>2591</v>
      </c>
      <c r="E85" s="578" t="s">
        <v>2592</v>
      </c>
      <c r="F85" s="578" t="s">
        <v>2593</v>
      </c>
      <c r="G85" s="578" t="s">
        <v>2594</v>
      </c>
      <c r="H85" s="539"/>
      <c r="I85" s="539"/>
      <c r="J85" s="539"/>
      <c r="K85" s="540"/>
      <c r="L85" s="541"/>
      <c r="M85" s="542"/>
      <c r="N85" s="1152"/>
      <c r="O85" s="1152"/>
      <c r="P85" s="45"/>
      <c r="Q85" s="504"/>
    </row>
    <row r="86" spans="1:17" ht="15.75" thickBot="1">
      <c r="A86" s="534"/>
      <c r="B86" s="543"/>
      <c r="C86" s="544">
        <v>100</v>
      </c>
      <c r="D86" s="544">
        <f>C86-$K17</f>
        <v>97</v>
      </c>
      <c r="E86" s="544">
        <f>D86-$K17</f>
        <v>94</v>
      </c>
      <c r="F86" s="544">
        <f>E86-$K17</f>
        <v>91</v>
      </c>
      <c r="G86" s="544">
        <f>F86-$K17</f>
        <v>88</v>
      </c>
      <c r="H86" s="544"/>
      <c r="I86" s="544"/>
      <c r="J86" s="544"/>
      <c r="K86" s="544"/>
      <c r="L86" s="544"/>
      <c r="M86" s="545"/>
      <c r="N86" s="1153"/>
      <c r="O86" s="1153"/>
      <c r="P86" s="45"/>
      <c r="Q86" s="504"/>
    </row>
    <row r="87" spans="1:17" s="117" customFormat="1" ht="15.75" thickTop="1">
      <c r="A87" s="579"/>
      <c r="B87" s="538" t="s">
        <v>2778</v>
      </c>
      <c r="C87" s="573" t="s">
        <v>2590</v>
      </c>
      <c r="D87" s="573" t="s">
        <v>2591</v>
      </c>
      <c r="E87" s="573" t="s">
        <v>2592</v>
      </c>
      <c r="F87" s="573" t="s">
        <v>2593</v>
      </c>
      <c r="G87" s="573" t="s">
        <v>2594</v>
      </c>
      <c r="H87" s="578"/>
      <c r="I87" s="578"/>
      <c r="J87" s="578"/>
      <c r="K87" s="578"/>
      <c r="L87" s="698"/>
      <c r="M87" s="622"/>
      <c r="N87" s="1151"/>
      <c r="O87" s="1151"/>
      <c r="P87" s="45"/>
      <c r="Q87" s="504"/>
    </row>
    <row r="88" spans="1:17" s="117" customFormat="1" ht="15.75" thickBot="1">
      <c r="A88" s="579"/>
      <c r="B88" s="543"/>
      <c r="C88" s="582">
        <v>100</v>
      </c>
      <c r="D88" s="544">
        <f>C88-$K19</f>
        <v>95</v>
      </c>
      <c r="E88" s="544">
        <f>D88-$K19</f>
        <v>90</v>
      </c>
      <c r="F88" s="544">
        <f>E88-$K19</f>
        <v>85</v>
      </c>
      <c r="G88" s="544">
        <f>F88-$K19</f>
        <v>80</v>
      </c>
      <c r="H88" s="544"/>
      <c r="I88" s="544"/>
      <c r="J88" s="544"/>
      <c r="K88" s="544"/>
      <c r="L88" s="544"/>
      <c r="M88" s="545"/>
      <c r="N88" s="1153"/>
      <c r="O88" s="1153"/>
      <c r="P88" s="45"/>
      <c r="Q88" s="504"/>
    </row>
    <row r="89" spans="1:17" s="117" customFormat="1" ht="27.75" thickTop="1">
      <c r="A89" s="579"/>
      <c r="B89" s="538" t="s">
        <v>2779</v>
      </c>
      <c r="C89" s="573" t="s">
        <v>2590</v>
      </c>
      <c r="D89" s="573" t="s">
        <v>2591</v>
      </c>
      <c r="E89" s="573" t="s">
        <v>2592</v>
      </c>
      <c r="F89" s="573" t="s">
        <v>2593</v>
      </c>
      <c r="G89" s="573" t="s">
        <v>2594</v>
      </c>
      <c r="H89" s="578"/>
      <c r="I89" s="578"/>
      <c r="J89" s="578"/>
      <c r="K89" s="578"/>
      <c r="L89" s="578"/>
      <c r="M89" s="622"/>
      <c r="N89" s="1151"/>
      <c r="O89" s="1151"/>
      <c r="P89" s="45"/>
      <c r="Q89" s="504"/>
    </row>
    <row r="90" spans="1:17" s="117" customFormat="1" ht="15.75" thickBot="1">
      <c r="A90" s="579"/>
      <c r="B90" s="543"/>
      <c r="C90" s="544">
        <v>100</v>
      </c>
      <c r="D90" s="544">
        <f>C90-$K21</f>
        <v>97</v>
      </c>
      <c r="E90" s="544">
        <f>D90-$K21</f>
        <v>94</v>
      </c>
      <c r="F90" s="544">
        <f>E90-$K21</f>
        <v>91</v>
      </c>
      <c r="G90" s="544">
        <f>F90-$K21</f>
        <v>88</v>
      </c>
      <c r="H90" s="544"/>
      <c r="I90" s="544"/>
      <c r="J90" s="544"/>
      <c r="K90" s="544"/>
      <c r="L90" s="544"/>
      <c r="M90" s="545"/>
      <c r="N90" s="1153"/>
      <c r="O90" s="1153"/>
      <c r="P90" s="45"/>
      <c r="Q90" s="504"/>
    </row>
    <row r="91" spans="1:17" s="471" customFormat="1" ht="15.75" thickTop="1">
      <c r="A91" s="553"/>
      <c r="B91" s="538" t="s">
        <v>2647</v>
      </c>
      <c r="C91" s="573" t="s">
        <v>2590</v>
      </c>
      <c r="D91" s="573" t="s">
        <v>2591</v>
      </c>
      <c r="E91" s="573" t="s">
        <v>2592</v>
      </c>
      <c r="F91" s="573" t="s">
        <v>2593</v>
      </c>
      <c r="G91" s="573" t="s">
        <v>2594</v>
      </c>
      <c r="H91" s="600"/>
      <c r="I91" s="600"/>
      <c r="J91" s="600"/>
      <c r="K91" s="600"/>
      <c r="L91" s="601"/>
      <c r="M91" s="602"/>
      <c r="N91" s="1154"/>
      <c r="O91" s="1154"/>
      <c r="P91" s="558"/>
      <c r="Q91" s="559"/>
    </row>
    <row r="92" spans="1:17" s="471" customFormat="1" ht="15.75" thickBot="1">
      <c r="A92" s="553"/>
      <c r="B92" s="543"/>
      <c r="C92" s="544">
        <v>100</v>
      </c>
      <c r="D92" s="544">
        <f>C92-$K23</f>
        <v>95</v>
      </c>
      <c r="E92" s="544">
        <f>D92-$K23</f>
        <v>90</v>
      </c>
      <c r="F92" s="544">
        <f>E92-$K23</f>
        <v>85</v>
      </c>
      <c r="G92" s="544">
        <f>F92-$K23</f>
        <v>80</v>
      </c>
      <c r="H92" s="607"/>
      <c r="I92" s="607"/>
      <c r="J92" s="607"/>
      <c r="K92" s="607"/>
      <c r="L92" s="607"/>
      <c r="M92" s="608"/>
      <c r="N92" s="1154"/>
      <c r="O92" s="1154"/>
      <c r="P92" s="558"/>
      <c r="Q92" s="559"/>
    </row>
    <row r="93" spans="1:17" s="471" customFormat="1" ht="15.75" thickTop="1">
      <c r="A93" s="553"/>
      <c r="B93" s="546" t="s">
        <v>2795</v>
      </c>
      <c r="C93" s="660" t="s">
        <v>2668</v>
      </c>
      <c r="D93" s="660" t="s">
        <v>2669</v>
      </c>
      <c r="E93" s="660" t="s">
        <v>2670</v>
      </c>
      <c r="F93" s="660" t="s">
        <v>2671</v>
      </c>
      <c r="G93" s="660" t="s">
        <v>2672</v>
      </c>
      <c r="H93" s="600"/>
      <c r="I93" s="600"/>
      <c r="J93" s="600"/>
      <c r="K93" s="600"/>
      <c r="L93" s="600"/>
      <c r="M93" s="602"/>
      <c r="N93" s="1154"/>
      <c r="O93" s="1154"/>
      <c r="P93" s="558"/>
      <c r="Q93" s="559"/>
    </row>
    <row r="94" spans="1:17" s="471" customFormat="1" ht="15.75" thickBot="1">
      <c r="A94" s="553"/>
      <c r="B94" s="546"/>
      <c r="C94" s="544">
        <v>100</v>
      </c>
      <c r="D94" s="544">
        <f>C94-$K25</f>
        <v>98</v>
      </c>
      <c r="E94" s="544">
        <f>D94-$K25</f>
        <v>96</v>
      </c>
      <c r="F94" s="544">
        <f>E94-$K25</f>
        <v>94</v>
      </c>
      <c r="G94" s="544">
        <f>F94-$K25</f>
        <v>92</v>
      </c>
      <c r="H94" s="548"/>
      <c r="I94" s="548"/>
      <c r="J94" s="548"/>
      <c r="K94" s="548"/>
      <c r="L94" s="548"/>
      <c r="M94" s="1385"/>
      <c r="N94" s="1154"/>
      <c r="O94" s="1154"/>
      <c r="P94" s="558"/>
      <c r="Q94" s="559"/>
    </row>
    <row r="95" spans="1:17" ht="15.75" thickTop="1">
      <c r="A95" s="534"/>
      <c r="B95" s="538" t="str">
        <f>B27</f>
        <v>临街状况</v>
      </c>
      <c r="C95" s="539" t="s">
        <v>2780</v>
      </c>
      <c r="D95" s="539" t="s">
        <v>2781</v>
      </c>
      <c r="E95" s="539" t="s">
        <v>2782</v>
      </c>
      <c r="F95" s="539" t="s">
        <v>2783</v>
      </c>
      <c r="G95" s="539"/>
      <c r="H95" s="539"/>
      <c r="I95" s="539"/>
      <c r="J95" s="539"/>
      <c r="K95" s="540"/>
      <c r="L95" s="541"/>
      <c r="M95" s="542"/>
      <c r="N95" s="1152"/>
      <c r="O95" s="1152"/>
      <c r="P95" s="45"/>
      <c r="Q95" s="504"/>
    </row>
    <row r="96" spans="1:17" ht="15.75" thickBot="1">
      <c r="A96" s="534"/>
      <c r="B96" s="543"/>
      <c r="C96" s="544">
        <v>100</v>
      </c>
      <c r="D96" s="544">
        <f t="shared" ref="D96:M96" si="23">C96-$K27</f>
        <v>100</v>
      </c>
      <c r="E96" s="544">
        <f t="shared" si="23"/>
        <v>100</v>
      </c>
      <c r="F96" s="544">
        <f t="shared" si="23"/>
        <v>100</v>
      </c>
      <c r="G96" s="544">
        <f t="shared" si="23"/>
        <v>100</v>
      </c>
      <c r="H96" s="544">
        <f t="shared" si="23"/>
        <v>100</v>
      </c>
      <c r="I96" s="544">
        <f t="shared" si="23"/>
        <v>100</v>
      </c>
      <c r="J96" s="544">
        <f t="shared" si="23"/>
        <v>100</v>
      </c>
      <c r="K96" s="544">
        <f t="shared" si="23"/>
        <v>100</v>
      </c>
      <c r="L96" s="544">
        <f t="shared" si="23"/>
        <v>100</v>
      </c>
      <c r="M96" s="544">
        <f t="shared" si="23"/>
        <v>100</v>
      </c>
      <c r="N96" s="1153"/>
      <c r="O96" s="1153"/>
      <c r="P96" s="45"/>
      <c r="Q96" s="504"/>
    </row>
    <row r="97" spans="1:17" ht="27.75" thickTop="1">
      <c r="A97" s="534"/>
      <c r="B97" s="538" t="s">
        <v>2684</v>
      </c>
      <c r="C97" s="3063" t="s">
        <v>7063</v>
      </c>
      <c r="D97" s="3063" t="s">
        <v>7065</v>
      </c>
      <c r="E97" s="3063" t="s">
        <v>7066</v>
      </c>
      <c r="F97" s="3063" t="s">
        <v>7068</v>
      </c>
      <c r="G97" s="554"/>
      <c r="H97" s="583"/>
      <c r="I97" s="583"/>
      <c r="J97" s="583"/>
      <c r="K97" s="584"/>
      <c r="L97" s="585"/>
      <c r="M97" s="586"/>
      <c r="N97" s="1152"/>
      <c r="O97" s="1152"/>
      <c r="P97" s="45"/>
      <c r="Q97" s="504"/>
    </row>
    <row r="98" spans="1:17" ht="15.75" thickBot="1">
      <c r="A98" s="534"/>
      <c r="B98" s="543"/>
      <c r="C98" s="544">
        <v>100</v>
      </c>
      <c r="D98" s="544">
        <f t="shared" ref="D98:M98" si="24">C98-$K28</f>
        <v>98</v>
      </c>
      <c r="E98" s="544">
        <f t="shared" si="24"/>
        <v>96</v>
      </c>
      <c r="F98" s="544">
        <f t="shared" si="24"/>
        <v>94</v>
      </c>
      <c r="G98" s="544">
        <f t="shared" si="24"/>
        <v>92</v>
      </c>
      <c r="H98" s="544">
        <f t="shared" si="24"/>
        <v>90</v>
      </c>
      <c r="I98" s="544">
        <f t="shared" si="24"/>
        <v>88</v>
      </c>
      <c r="J98" s="544">
        <f t="shared" si="24"/>
        <v>86</v>
      </c>
      <c r="K98" s="544">
        <f t="shared" si="24"/>
        <v>84</v>
      </c>
      <c r="L98" s="544">
        <f t="shared" si="24"/>
        <v>82</v>
      </c>
      <c r="M98" s="544">
        <f t="shared" si="24"/>
        <v>80</v>
      </c>
      <c r="N98" s="1153"/>
      <c r="O98" s="1153"/>
      <c r="P98" s="45"/>
      <c r="Q98" s="504"/>
    </row>
    <row r="99" spans="1:17" ht="15.75" thickTop="1">
      <c r="A99" s="534"/>
      <c r="B99" s="538" t="s">
        <v>2743</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5">C100-$K30</f>
        <v>100</v>
      </c>
      <c r="E100" s="544">
        <f t="shared" si="25"/>
        <v>100</v>
      </c>
      <c r="F100" s="544">
        <f t="shared" si="25"/>
        <v>100</v>
      </c>
      <c r="G100" s="544">
        <f t="shared" si="25"/>
        <v>100</v>
      </c>
      <c r="H100" s="544">
        <f t="shared" si="25"/>
        <v>100</v>
      </c>
      <c r="I100" s="544">
        <f t="shared" si="25"/>
        <v>100</v>
      </c>
      <c r="J100" s="544">
        <f t="shared" si="25"/>
        <v>100</v>
      </c>
      <c r="K100" s="544">
        <f t="shared" si="25"/>
        <v>100</v>
      </c>
      <c r="L100" s="544">
        <f t="shared" si="25"/>
        <v>100</v>
      </c>
      <c r="M100" s="544">
        <f t="shared" si="25"/>
        <v>100</v>
      </c>
      <c r="N100" s="1153"/>
      <c r="O100" s="1153"/>
      <c r="P100" s="45"/>
      <c r="Q100" s="504"/>
    </row>
    <row r="101" spans="1:17" ht="15.75" thickTop="1">
      <c r="A101" s="534"/>
      <c r="B101" s="546">
        <f>B31</f>
        <v>0</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0</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0</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ht="28.5">
      <c r="A107" s="527" t="s">
        <v>2556</v>
      </c>
      <c r="B107" s="528" t="s">
        <v>2784</v>
      </c>
      <c r="C107" s="529" t="str">
        <f t="shared" ref="C107:L107" si="26">C108&amp;"(含)"&amp;"-"&amp;D108</f>
        <v>0(含)-50000</v>
      </c>
      <c r="D107" s="529" t="str">
        <f t="shared" si="26"/>
        <v>50000(含)-100000</v>
      </c>
      <c r="E107" s="529" t="str">
        <f t="shared" si="26"/>
        <v>100000(含)-</v>
      </c>
      <c r="F107" s="529" t="str">
        <f t="shared" si="26"/>
        <v>(含)-</v>
      </c>
      <c r="G107" s="529" t="str">
        <f t="shared" si="26"/>
        <v>(含)-</v>
      </c>
      <c r="H107" s="529" t="str">
        <f t="shared" si="26"/>
        <v>(含)-</v>
      </c>
      <c r="I107" s="529" t="str">
        <f t="shared" si="26"/>
        <v>(含)-</v>
      </c>
      <c r="J107" s="529" t="str">
        <f t="shared" si="26"/>
        <v>(含)-</v>
      </c>
      <c r="K107" s="1766" t="str">
        <f t="shared" si="26"/>
        <v>(含)-</v>
      </c>
      <c r="L107" s="1766" t="str">
        <f t="shared" si="26"/>
        <v>(含)-</v>
      </c>
      <c r="M107" s="1767" t="str">
        <f>M108&amp;"(含)"&amp;"-"&amp;P108</f>
        <v>(含)-</v>
      </c>
      <c r="N107" s="1152"/>
      <c r="O107" s="1152"/>
      <c r="P107" s="45"/>
      <c r="Q107" s="504"/>
    </row>
    <row r="108" spans="1:17" ht="15">
      <c r="A108" s="534"/>
      <c r="B108" s="546"/>
      <c r="C108" s="595">
        <v>0</v>
      </c>
      <c r="D108" s="595">
        <v>50000</v>
      </c>
      <c r="E108" s="595">
        <v>100000</v>
      </c>
      <c r="F108" s="595"/>
      <c r="G108" s="595"/>
      <c r="H108" s="595"/>
      <c r="I108" s="595"/>
      <c r="J108" s="596"/>
      <c r="K108" s="596"/>
      <c r="L108" s="597"/>
      <c r="M108" s="598"/>
      <c r="N108" s="1152"/>
      <c r="O108" s="1152"/>
      <c r="P108" s="45"/>
      <c r="Q108" s="504"/>
    </row>
    <row r="109" spans="1:17" ht="15.75" thickBot="1">
      <c r="A109" s="534"/>
      <c r="B109" s="543"/>
      <c r="C109" s="570">
        <v>100</v>
      </c>
      <c r="D109" s="591">
        <v>101</v>
      </c>
      <c r="E109" s="591">
        <v>102</v>
      </c>
      <c r="F109" s="591"/>
      <c r="G109" s="591"/>
      <c r="H109" s="591"/>
      <c r="I109" s="591"/>
      <c r="J109" s="591"/>
      <c r="K109" s="591"/>
      <c r="L109" s="591"/>
      <c r="M109" s="592"/>
      <c r="N109" s="1153"/>
      <c r="O109" s="1153"/>
      <c r="P109" s="45"/>
      <c r="Q109" s="504"/>
    </row>
    <row r="110" spans="1:17" ht="15" thickTop="1">
      <c r="A110" s="599"/>
      <c r="B110" s="538" t="s">
        <v>2785</v>
      </c>
      <c r="C110" s="3062" t="s">
        <v>3513</v>
      </c>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7">C111-$K35</f>
        <v>98</v>
      </c>
      <c r="E111" s="544">
        <f t="shared" si="27"/>
        <v>96</v>
      </c>
      <c r="F111" s="544">
        <f t="shared" si="27"/>
        <v>94</v>
      </c>
      <c r="G111" s="544">
        <f t="shared" si="27"/>
        <v>92</v>
      </c>
      <c r="H111" s="544">
        <f t="shared" si="27"/>
        <v>90</v>
      </c>
      <c r="I111" s="544">
        <f t="shared" si="27"/>
        <v>88</v>
      </c>
      <c r="J111" s="544">
        <f t="shared" si="27"/>
        <v>86</v>
      </c>
      <c r="K111" s="544">
        <f t="shared" si="27"/>
        <v>84</v>
      </c>
      <c r="L111" s="544">
        <f t="shared" si="27"/>
        <v>82</v>
      </c>
      <c r="M111" s="545">
        <f t="shared" si="27"/>
        <v>80</v>
      </c>
      <c r="N111" s="1153"/>
      <c r="O111" s="1153"/>
      <c r="P111" s="45"/>
      <c r="Q111" s="504"/>
    </row>
    <row r="112" spans="1:17" s="471" customFormat="1" ht="15" thickTop="1">
      <c r="A112" s="593"/>
      <c r="B112" s="538" t="s">
        <v>2787</v>
      </c>
      <c r="C112" s="3063" t="s">
        <v>3515</v>
      </c>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8">C113-$K36</f>
        <v>98</v>
      </c>
      <c r="E113" s="544">
        <f t="shared" si="28"/>
        <v>96</v>
      </c>
      <c r="F113" s="544">
        <f t="shared" si="28"/>
        <v>94</v>
      </c>
      <c r="G113" s="544">
        <f t="shared" si="28"/>
        <v>92</v>
      </c>
      <c r="H113" s="544">
        <f t="shared" si="28"/>
        <v>90</v>
      </c>
      <c r="I113" s="544">
        <f t="shared" si="28"/>
        <v>88</v>
      </c>
      <c r="J113" s="544">
        <f t="shared" si="28"/>
        <v>86</v>
      </c>
      <c r="K113" s="544">
        <f t="shared" si="28"/>
        <v>84</v>
      </c>
      <c r="L113" s="544">
        <f t="shared" si="28"/>
        <v>82</v>
      </c>
      <c r="M113" s="545">
        <f t="shared" si="28"/>
        <v>80</v>
      </c>
      <c r="N113" s="1154"/>
      <c r="O113" s="1154"/>
      <c r="P113" s="558"/>
      <c r="Q113" s="559"/>
    </row>
    <row r="114" spans="1:17" ht="15" thickTop="1">
      <c r="A114" s="599"/>
      <c r="B114" s="538" t="s">
        <v>2788</v>
      </c>
      <c r="C114" s="3063" t="s">
        <v>3516</v>
      </c>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9">C115-$K37</f>
        <v>98</v>
      </c>
      <c r="E115" s="544">
        <f t="shared" si="29"/>
        <v>96</v>
      </c>
      <c r="F115" s="544">
        <f t="shared" si="29"/>
        <v>94</v>
      </c>
      <c r="G115" s="544">
        <f t="shared" si="29"/>
        <v>92</v>
      </c>
      <c r="H115" s="544">
        <f t="shared" si="29"/>
        <v>90</v>
      </c>
      <c r="I115" s="544">
        <f t="shared" si="29"/>
        <v>88</v>
      </c>
      <c r="J115" s="544">
        <f t="shared" si="29"/>
        <v>86</v>
      </c>
      <c r="K115" s="544">
        <f t="shared" si="29"/>
        <v>84</v>
      </c>
      <c r="L115" s="544">
        <f t="shared" si="29"/>
        <v>82</v>
      </c>
      <c r="M115" s="545">
        <f t="shared" si="29"/>
        <v>80</v>
      </c>
      <c r="N115" s="1153"/>
      <c r="O115" s="1153"/>
      <c r="P115" s="45"/>
      <c r="Q115" s="504"/>
    </row>
    <row r="116" spans="1:17" ht="15" thickTop="1">
      <c r="A116" s="599"/>
      <c r="B116" s="538">
        <f>B38</f>
        <v>0</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0</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0</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42" priority="14" stopIfTrue="1" operator="containsText" text="超过">
      <formula>NOT(ISERROR(SEARCH("超过",F46)))</formula>
    </cfRule>
  </conditionalFormatting>
  <conditionalFormatting sqref="J48">
    <cfRule type="containsText" dxfId="141" priority="13" stopIfTrue="1" operator="containsText" text="超过">
      <formula>NOT(ISERROR(SEARCH("超过",J48)))</formula>
    </cfRule>
  </conditionalFormatting>
  <conditionalFormatting sqref="H48">
    <cfRule type="containsText" dxfId="140" priority="12" stopIfTrue="1" operator="containsText" text="超过">
      <formula>NOT(ISERROR(SEARCH("超过",H48)))</formula>
    </cfRule>
  </conditionalFormatting>
  <conditionalFormatting sqref="F48">
    <cfRule type="containsText" dxfId="139" priority="11" stopIfTrue="1" operator="containsText" text="超过">
      <formula>NOT(ISERROR(SEARCH("超过",F48)))</formula>
    </cfRule>
  </conditionalFormatting>
  <conditionalFormatting sqref="F47 H47 J47">
    <cfRule type="containsText" dxfId="138" priority="10" stopIfTrue="1" operator="containsText" text="超过">
      <formula>NOT(ISERROR(SEARCH("超过",F47)))</formula>
    </cfRule>
  </conditionalFormatting>
  <conditionalFormatting sqref="E46">
    <cfRule type="expression" dxfId="137" priority="9" stopIfTrue="1">
      <formula>$F$46="超过30%"</formula>
    </cfRule>
  </conditionalFormatting>
  <conditionalFormatting sqref="G48">
    <cfRule type="expression" dxfId="136" priority="8" stopIfTrue="1">
      <formula>$H$48="超过30%"</formula>
    </cfRule>
  </conditionalFormatting>
  <conditionalFormatting sqref="E48">
    <cfRule type="expression" dxfId="135" priority="6" stopIfTrue="1">
      <formula>$F$48="超过30%"</formula>
    </cfRule>
  </conditionalFormatting>
  <conditionalFormatting sqref="G46">
    <cfRule type="expression" dxfId="134" priority="5" stopIfTrue="1">
      <formula>$H$46="超过30%"</formula>
    </cfRule>
  </conditionalFormatting>
  <conditionalFormatting sqref="G47">
    <cfRule type="expression" dxfId="133" priority="4" stopIfTrue="1">
      <formula>$H$47="超过20%"</formula>
    </cfRule>
  </conditionalFormatting>
  <conditionalFormatting sqref="I46">
    <cfRule type="expression" dxfId="132" priority="3" stopIfTrue="1">
      <formula>$J$46="超过30%"</formula>
    </cfRule>
  </conditionalFormatting>
  <conditionalFormatting sqref="I47">
    <cfRule type="expression" dxfId="131" priority="2" stopIfTrue="1">
      <formula>$J$47="超过20%"</formula>
    </cfRule>
  </conditionalFormatting>
  <conditionalFormatting sqref="I48">
    <cfRule type="expression" dxfId="130" priority="1" stopIfTrue="1">
      <formula>$J$48="超过30%"</formula>
    </cfRule>
  </conditionalFormatting>
  <conditionalFormatting sqref="E47">
    <cfRule type="expression" dxfId="129" priority="49" stopIfTrue="1">
      <formula>#REF!+$F$47="超过20%"</formula>
    </cfRule>
  </conditionalFormatting>
  <dataValidations disablePrompts="1"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
  <sheetViews>
    <sheetView workbookViewId="0">
      <selection activeCell="E15" sqref="E15"/>
    </sheetView>
  </sheetViews>
  <sheetFormatPr defaultColWidth="9" defaultRowHeight="20.25" customHeight="1"/>
  <cols>
    <col min="1" max="1" width="14.25" style="3091" customWidth="1"/>
    <col min="2" max="2" width="18.75" style="3091" customWidth="1"/>
    <col min="3" max="5" width="14.25" style="3091" customWidth="1"/>
    <col min="6" max="6" width="11" style="3091" customWidth="1"/>
    <col min="7" max="7" width="9" style="3091"/>
    <col min="8" max="8" width="13.75" style="3091" customWidth="1"/>
    <col min="9" max="256" width="9" style="3091"/>
    <col min="257" max="257" width="14.25" style="3091" customWidth="1"/>
    <col min="258" max="258" width="18.75" style="3091" customWidth="1"/>
    <col min="259" max="261" width="14.25" style="3091" customWidth="1"/>
    <col min="262" max="262" width="11" style="3091" customWidth="1"/>
    <col min="263" max="263" width="9" style="3091"/>
    <col min="264" max="264" width="13.75" style="3091" customWidth="1"/>
    <col min="265" max="512" width="9" style="3091"/>
    <col min="513" max="513" width="14.25" style="3091" customWidth="1"/>
    <col min="514" max="514" width="18.75" style="3091" customWidth="1"/>
    <col min="515" max="517" width="14.25" style="3091" customWidth="1"/>
    <col min="518" max="518" width="11" style="3091" customWidth="1"/>
    <col min="519" max="519" width="9" style="3091"/>
    <col min="520" max="520" width="13.75" style="3091" customWidth="1"/>
    <col min="521" max="768" width="9" style="3091"/>
    <col min="769" max="769" width="14.25" style="3091" customWidth="1"/>
    <col min="770" max="770" width="18.75" style="3091" customWidth="1"/>
    <col min="771" max="773" width="14.25" style="3091" customWidth="1"/>
    <col min="774" max="774" width="11" style="3091" customWidth="1"/>
    <col min="775" max="775" width="9" style="3091"/>
    <col min="776" max="776" width="13.75" style="3091" customWidth="1"/>
    <col min="777" max="1024" width="9" style="3091"/>
    <col min="1025" max="1025" width="14.25" style="3091" customWidth="1"/>
    <col min="1026" max="1026" width="18.75" style="3091" customWidth="1"/>
    <col min="1027" max="1029" width="14.25" style="3091" customWidth="1"/>
    <col min="1030" max="1030" width="11" style="3091" customWidth="1"/>
    <col min="1031" max="1031" width="9" style="3091"/>
    <col min="1032" max="1032" width="13.75" style="3091" customWidth="1"/>
    <col min="1033" max="1280" width="9" style="3091"/>
    <col min="1281" max="1281" width="14.25" style="3091" customWidth="1"/>
    <col min="1282" max="1282" width="18.75" style="3091" customWidth="1"/>
    <col min="1283" max="1285" width="14.25" style="3091" customWidth="1"/>
    <col min="1286" max="1286" width="11" style="3091" customWidth="1"/>
    <col min="1287" max="1287" width="9" style="3091"/>
    <col min="1288" max="1288" width="13.75" style="3091" customWidth="1"/>
    <col min="1289" max="1536" width="9" style="3091"/>
    <col min="1537" max="1537" width="14.25" style="3091" customWidth="1"/>
    <col min="1538" max="1538" width="18.75" style="3091" customWidth="1"/>
    <col min="1539" max="1541" width="14.25" style="3091" customWidth="1"/>
    <col min="1542" max="1542" width="11" style="3091" customWidth="1"/>
    <col min="1543" max="1543" width="9" style="3091"/>
    <col min="1544" max="1544" width="13.75" style="3091" customWidth="1"/>
    <col min="1545" max="1792" width="9" style="3091"/>
    <col min="1793" max="1793" width="14.25" style="3091" customWidth="1"/>
    <col min="1794" max="1794" width="18.75" style="3091" customWidth="1"/>
    <col min="1795" max="1797" width="14.25" style="3091" customWidth="1"/>
    <col min="1798" max="1798" width="11" style="3091" customWidth="1"/>
    <col min="1799" max="1799" width="9" style="3091"/>
    <col min="1800" max="1800" width="13.75" style="3091" customWidth="1"/>
    <col min="1801" max="2048" width="9" style="3091"/>
    <col min="2049" max="2049" width="14.25" style="3091" customWidth="1"/>
    <col min="2050" max="2050" width="18.75" style="3091" customWidth="1"/>
    <col min="2051" max="2053" width="14.25" style="3091" customWidth="1"/>
    <col min="2054" max="2054" width="11" style="3091" customWidth="1"/>
    <col min="2055" max="2055" width="9" style="3091"/>
    <col min="2056" max="2056" width="13.75" style="3091" customWidth="1"/>
    <col min="2057" max="2304" width="9" style="3091"/>
    <col min="2305" max="2305" width="14.25" style="3091" customWidth="1"/>
    <col min="2306" max="2306" width="18.75" style="3091" customWidth="1"/>
    <col min="2307" max="2309" width="14.25" style="3091" customWidth="1"/>
    <col min="2310" max="2310" width="11" style="3091" customWidth="1"/>
    <col min="2311" max="2311" width="9" style="3091"/>
    <col min="2312" max="2312" width="13.75" style="3091" customWidth="1"/>
    <col min="2313" max="2560" width="9" style="3091"/>
    <col min="2561" max="2561" width="14.25" style="3091" customWidth="1"/>
    <col min="2562" max="2562" width="18.75" style="3091" customWidth="1"/>
    <col min="2563" max="2565" width="14.25" style="3091" customWidth="1"/>
    <col min="2566" max="2566" width="11" style="3091" customWidth="1"/>
    <col min="2567" max="2567" width="9" style="3091"/>
    <col min="2568" max="2568" width="13.75" style="3091" customWidth="1"/>
    <col min="2569" max="2816" width="9" style="3091"/>
    <col min="2817" max="2817" width="14.25" style="3091" customWidth="1"/>
    <col min="2818" max="2818" width="18.75" style="3091" customWidth="1"/>
    <col min="2819" max="2821" width="14.25" style="3091" customWidth="1"/>
    <col min="2822" max="2822" width="11" style="3091" customWidth="1"/>
    <col min="2823" max="2823" width="9" style="3091"/>
    <col min="2824" max="2824" width="13.75" style="3091" customWidth="1"/>
    <col min="2825" max="3072" width="9" style="3091"/>
    <col min="3073" max="3073" width="14.25" style="3091" customWidth="1"/>
    <col min="3074" max="3074" width="18.75" style="3091" customWidth="1"/>
    <col min="3075" max="3077" width="14.25" style="3091" customWidth="1"/>
    <col min="3078" max="3078" width="11" style="3091" customWidth="1"/>
    <col min="3079" max="3079" width="9" style="3091"/>
    <col min="3080" max="3080" width="13.75" style="3091" customWidth="1"/>
    <col min="3081" max="3328" width="9" style="3091"/>
    <col min="3329" max="3329" width="14.25" style="3091" customWidth="1"/>
    <col min="3330" max="3330" width="18.75" style="3091" customWidth="1"/>
    <col min="3331" max="3333" width="14.25" style="3091" customWidth="1"/>
    <col min="3334" max="3334" width="11" style="3091" customWidth="1"/>
    <col min="3335" max="3335" width="9" style="3091"/>
    <col min="3336" max="3336" width="13.75" style="3091" customWidth="1"/>
    <col min="3337" max="3584" width="9" style="3091"/>
    <col min="3585" max="3585" width="14.25" style="3091" customWidth="1"/>
    <col min="3586" max="3586" width="18.75" style="3091" customWidth="1"/>
    <col min="3587" max="3589" width="14.25" style="3091" customWidth="1"/>
    <col min="3590" max="3590" width="11" style="3091" customWidth="1"/>
    <col min="3591" max="3591" width="9" style="3091"/>
    <col min="3592" max="3592" width="13.75" style="3091" customWidth="1"/>
    <col min="3593" max="3840" width="9" style="3091"/>
    <col min="3841" max="3841" width="14.25" style="3091" customWidth="1"/>
    <col min="3842" max="3842" width="18.75" style="3091" customWidth="1"/>
    <col min="3843" max="3845" width="14.25" style="3091" customWidth="1"/>
    <col min="3846" max="3846" width="11" style="3091" customWidth="1"/>
    <col min="3847" max="3847" width="9" style="3091"/>
    <col min="3848" max="3848" width="13.75" style="3091" customWidth="1"/>
    <col min="3849" max="4096" width="9" style="3091"/>
    <col min="4097" max="4097" width="14.25" style="3091" customWidth="1"/>
    <col min="4098" max="4098" width="18.75" style="3091" customWidth="1"/>
    <col min="4099" max="4101" width="14.25" style="3091" customWidth="1"/>
    <col min="4102" max="4102" width="11" style="3091" customWidth="1"/>
    <col min="4103" max="4103" width="9" style="3091"/>
    <col min="4104" max="4104" width="13.75" style="3091" customWidth="1"/>
    <col min="4105" max="4352" width="9" style="3091"/>
    <col min="4353" max="4353" width="14.25" style="3091" customWidth="1"/>
    <col min="4354" max="4354" width="18.75" style="3091" customWidth="1"/>
    <col min="4355" max="4357" width="14.25" style="3091" customWidth="1"/>
    <col min="4358" max="4358" width="11" style="3091" customWidth="1"/>
    <col min="4359" max="4359" width="9" style="3091"/>
    <col min="4360" max="4360" width="13.75" style="3091" customWidth="1"/>
    <col min="4361" max="4608" width="9" style="3091"/>
    <col min="4609" max="4609" width="14.25" style="3091" customWidth="1"/>
    <col min="4610" max="4610" width="18.75" style="3091" customWidth="1"/>
    <col min="4611" max="4613" width="14.25" style="3091" customWidth="1"/>
    <col min="4614" max="4614" width="11" style="3091" customWidth="1"/>
    <col min="4615" max="4615" width="9" style="3091"/>
    <col min="4616" max="4616" width="13.75" style="3091" customWidth="1"/>
    <col min="4617" max="4864" width="9" style="3091"/>
    <col min="4865" max="4865" width="14.25" style="3091" customWidth="1"/>
    <col min="4866" max="4866" width="18.75" style="3091" customWidth="1"/>
    <col min="4867" max="4869" width="14.25" style="3091" customWidth="1"/>
    <col min="4870" max="4870" width="11" style="3091" customWidth="1"/>
    <col min="4871" max="4871" width="9" style="3091"/>
    <col min="4872" max="4872" width="13.75" style="3091" customWidth="1"/>
    <col min="4873" max="5120" width="9" style="3091"/>
    <col min="5121" max="5121" width="14.25" style="3091" customWidth="1"/>
    <col min="5122" max="5122" width="18.75" style="3091" customWidth="1"/>
    <col min="5123" max="5125" width="14.25" style="3091" customWidth="1"/>
    <col min="5126" max="5126" width="11" style="3091" customWidth="1"/>
    <col min="5127" max="5127" width="9" style="3091"/>
    <col min="5128" max="5128" width="13.75" style="3091" customWidth="1"/>
    <col min="5129" max="5376" width="9" style="3091"/>
    <col min="5377" max="5377" width="14.25" style="3091" customWidth="1"/>
    <col min="5378" max="5378" width="18.75" style="3091" customWidth="1"/>
    <col min="5379" max="5381" width="14.25" style="3091" customWidth="1"/>
    <col min="5382" max="5382" width="11" style="3091" customWidth="1"/>
    <col min="5383" max="5383" width="9" style="3091"/>
    <col min="5384" max="5384" width="13.75" style="3091" customWidth="1"/>
    <col min="5385" max="5632" width="9" style="3091"/>
    <col min="5633" max="5633" width="14.25" style="3091" customWidth="1"/>
    <col min="5634" max="5634" width="18.75" style="3091" customWidth="1"/>
    <col min="5635" max="5637" width="14.25" style="3091" customWidth="1"/>
    <col min="5638" max="5638" width="11" style="3091" customWidth="1"/>
    <col min="5639" max="5639" width="9" style="3091"/>
    <col min="5640" max="5640" width="13.75" style="3091" customWidth="1"/>
    <col min="5641" max="5888" width="9" style="3091"/>
    <col min="5889" max="5889" width="14.25" style="3091" customWidth="1"/>
    <col min="5890" max="5890" width="18.75" style="3091" customWidth="1"/>
    <col min="5891" max="5893" width="14.25" style="3091" customWidth="1"/>
    <col min="5894" max="5894" width="11" style="3091" customWidth="1"/>
    <col min="5895" max="5895" width="9" style="3091"/>
    <col min="5896" max="5896" width="13.75" style="3091" customWidth="1"/>
    <col min="5897" max="6144" width="9" style="3091"/>
    <col min="6145" max="6145" width="14.25" style="3091" customWidth="1"/>
    <col min="6146" max="6146" width="18.75" style="3091" customWidth="1"/>
    <col min="6147" max="6149" width="14.25" style="3091" customWidth="1"/>
    <col min="6150" max="6150" width="11" style="3091" customWidth="1"/>
    <col min="6151" max="6151" width="9" style="3091"/>
    <col min="6152" max="6152" width="13.75" style="3091" customWidth="1"/>
    <col min="6153" max="6400" width="9" style="3091"/>
    <col min="6401" max="6401" width="14.25" style="3091" customWidth="1"/>
    <col min="6402" max="6402" width="18.75" style="3091" customWidth="1"/>
    <col min="6403" max="6405" width="14.25" style="3091" customWidth="1"/>
    <col min="6406" max="6406" width="11" style="3091" customWidth="1"/>
    <col min="6407" max="6407" width="9" style="3091"/>
    <col min="6408" max="6408" width="13.75" style="3091" customWidth="1"/>
    <col min="6409" max="6656" width="9" style="3091"/>
    <col min="6657" max="6657" width="14.25" style="3091" customWidth="1"/>
    <col min="6658" max="6658" width="18.75" style="3091" customWidth="1"/>
    <col min="6659" max="6661" width="14.25" style="3091" customWidth="1"/>
    <col min="6662" max="6662" width="11" style="3091" customWidth="1"/>
    <col min="6663" max="6663" width="9" style="3091"/>
    <col min="6664" max="6664" width="13.75" style="3091" customWidth="1"/>
    <col min="6665" max="6912" width="9" style="3091"/>
    <col min="6913" max="6913" width="14.25" style="3091" customWidth="1"/>
    <col min="6914" max="6914" width="18.75" style="3091" customWidth="1"/>
    <col min="6915" max="6917" width="14.25" style="3091" customWidth="1"/>
    <col min="6918" max="6918" width="11" style="3091" customWidth="1"/>
    <col min="6919" max="6919" width="9" style="3091"/>
    <col min="6920" max="6920" width="13.75" style="3091" customWidth="1"/>
    <col min="6921" max="7168" width="9" style="3091"/>
    <col min="7169" max="7169" width="14.25" style="3091" customWidth="1"/>
    <col min="7170" max="7170" width="18.75" style="3091" customWidth="1"/>
    <col min="7171" max="7173" width="14.25" style="3091" customWidth="1"/>
    <col min="7174" max="7174" width="11" style="3091" customWidth="1"/>
    <col min="7175" max="7175" width="9" style="3091"/>
    <col min="7176" max="7176" width="13.75" style="3091" customWidth="1"/>
    <col min="7177" max="7424" width="9" style="3091"/>
    <col min="7425" max="7425" width="14.25" style="3091" customWidth="1"/>
    <col min="7426" max="7426" width="18.75" style="3091" customWidth="1"/>
    <col min="7427" max="7429" width="14.25" style="3091" customWidth="1"/>
    <col min="7430" max="7430" width="11" style="3091" customWidth="1"/>
    <col min="7431" max="7431" width="9" style="3091"/>
    <col min="7432" max="7432" width="13.75" style="3091" customWidth="1"/>
    <col min="7433" max="7680" width="9" style="3091"/>
    <col min="7681" max="7681" width="14.25" style="3091" customWidth="1"/>
    <col min="7682" max="7682" width="18.75" style="3091" customWidth="1"/>
    <col min="7683" max="7685" width="14.25" style="3091" customWidth="1"/>
    <col min="7686" max="7686" width="11" style="3091" customWidth="1"/>
    <col min="7687" max="7687" width="9" style="3091"/>
    <col min="7688" max="7688" width="13.75" style="3091" customWidth="1"/>
    <col min="7689" max="7936" width="9" style="3091"/>
    <col min="7937" max="7937" width="14.25" style="3091" customWidth="1"/>
    <col min="7938" max="7938" width="18.75" style="3091" customWidth="1"/>
    <col min="7939" max="7941" width="14.25" style="3091" customWidth="1"/>
    <col min="7942" max="7942" width="11" style="3091" customWidth="1"/>
    <col min="7943" max="7943" width="9" style="3091"/>
    <col min="7944" max="7944" width="13.75" style="3091" customWidth="1"/>
    <col min="7945" max="8192" width="9" style="3091"/>
    <col min="8193" max="8193" width="14.25" style="3091" customWidth="1"/>
    <col min="8194" max="8194" width="18.75" style="3091" customWidth="1"/>
    <col min="8195" max="8197" width="14.25" style="3091" customWidth="1"/>
    <col min="8198" max="8198" width="11" style="3091" customWidth="1"/>
    <col min="8199" max="8199" width="9" style="3091"/>
    <col min="8200" max="8200" width="13.75" style="3091" customWidth="1"/>
    <col min="8201" max="8448" width="9" style="3091"/>
    <col min="8449" max="8449" width="14.25" style="3091" customWidth="1"/>
    <col min="8450" max="8450" width="18.75" style="3091" customWidth="1"/>
    <col min="8451" max="8453" width="14.25" style="3091" customWidth="1"/>
    <col min="8454" max="8454" width="11" style="3091" customWidth="1"/>
    <col min="8455" max="8455" width="9" style="3091"/>
    <col min="8456" max="8456" width="13.75" style="3091" customWidth="1"/>
    <col min="8457" max="8704" width="9" style="3091"/>
    <col min="8705" max="8705" width="14.25" style="3091" customWidth="1"/>
    <col min="8706" max="8706" width="18.75" style="3091" customWidth="1"/>
    <col min="8707" max="8709" width="14.25" style="3091" customWidth="1"/>
    <col min="8710" max="8710" width="11" style="3091" customWidth="1"/>
    <col min="8711" max="8711" width="9" style="3091"/>
    <col min="8712" max="8712" width="13.75" style="3091" customWidth="1"/>
    <col min="8713" max="8960" width="9" style="3091"/>
    <col min="8961" max="8961" width="14.25" style="3091" customWidth="1"/>
    <col min="8962" max="8962" width="18.75" style="3091" customWidth="1"/>
    <col min="8963" max="8965" width="14.25" style="3091" customWidth="1"/>
    <col min="8966" max="8966" width="11" style="3091" customWidth="1"/>
    <col min="8967" max="8967" width="9" style="3091"/>
    <col min="8968" max="8968" width="13.75" style="3091" customWidth="1"/>
    <col min="8969" max="9216" width="9" style="3091"/>
    <col min="9217" max="9217" width="14.25" style="3091" customWidth="1"/>
    <col min="9218" max="9218" width="18.75" style="3091" customWidth="1"/>
    <col min="9219" max="9221" width="14.25" style="3091" customWidth="1"/>
    <col min="9222" max="9222" width="11" style="3091" customWidth="1"/>
    <col min="9223" max="9223" width="9" style="3091"/>
    <col min="9224" max="9224" width="13.75" style="3091" customWidth="1"/>
    <col min="9225" max="9472" width="9" style="3091"/>
    <col min="9473" max="9473" width="14.25" style="3091" customWidth="1"/>
    <col min="9474" max="9474" width="18.75" style="3091" customWidth="1"/>
    <col min="9475" max="9477" width="14.25" style="3091" customWidth="1"/>
    <col min="9478" max="9478" width="11" style="3091" customWidth="1"/>
    <col min="9479" max="9479" width="9" style="3091"/>
    <col min="9480" max="9480" width="13.75" style="3091" customWidth="1"/>
    <col min="9481" max="9728" width="9" style="3091"/>
    <col min="9729" max="9729" width="14.25" style="3091" customWidth="1"/>
    <col min="9730" max="9730" width="18.75" style="3091" customWidth="1"/>
    <col min="9731" max="9733" width="14.25" style="3091" customWidth="1"/>
    <col min="9734" max="9734" width="11" style="3091" customWidth="1"/>
    <col min="9735" max="9735" width="9" style="3091"/>
    <col min="9736" max="9736" width="13.75" style="3091" customWidth="1"/>
    <col min="9737" max="9984" width="9" style="3091"/>
    <col min="9985" max="9985" width="14.25" style="3091" customWidth="1"/>
    <col min="9986" max="9986" width="18.75" style="3091" customWidth="1"/>
    <col min="9987" max="9989" width="14.25" style="3091" customWidth="1"/>
    <col min="9990" max="9990" width="11" style="3091" customWidth="1"/>
    <col min="9991" max="9991" width="9" style="3091"/>
    <col min="9992" max="9992" width="13.75" style="3091" customWidth="1"/>
    <col min="9993" max="10240" width="9" style="3091"/>
    <col min="10241" max="10241" width="14.25" style="3091" customWidth="1"/>
    <col min="10242" max="10242" width="18.75" style="3091" customWidth="1"/>
    <col min="10243" max="10245" width="14.25" style="3091" customWidth="1"/>
    <col min="10246" max="10246" width="11" style="3091" customWidth="1"/>
    <col min="10247" max="10247" width="9" style="3091"/>
    <col min="10248" max="10248" width="13.75" style="3091" customWidth="1"/>
    <col min="10249" max="10496" width="9" style="3091"/>
    <col min="10497" max="10497" width="14.25" style="3091" customWidth="1"/>
    <col min="10498" max="10498" width="18.75" style="3091" customWidth="1"/>
    <col min="10499" max="10501" width="14.25" style="3091" customWidth="1"/>
    <col min="10502" max="10502" width="11" style="3091" customWidth="1"/>
    <col min="10503" max="10503" width="9" style="3091"/>
    <col min="10504" max="10504" width="13.75" style="3091" customWidth="1"/>
    <col min="10505" max="10752" width="9" style="3091"/>
    <col min="10753" max="10753" width="14.25" style="3091" customWidth="1"/>
    <col min="10754" max="10754" width="18.75" style="3091" customWidth="1"/>
    <col min="10755" max="10757" width="14.25" style="3091" customWidth="1"/>
    <col min="10758" max="10758" width="11" style="3091" customWidth="1"/>
    <col min="10759" max="10759" width="9" style="3091"/>
    <col min="10760" max="10760" width="13.75" style="3091" customWidth="1"/>
    <col min="10761" max="11008" width="9" style="3091"/>
    <col min="11009" max="11009" width="14.25" style="3091" customWidth="1"/>
    <col min="11010" max="11010" width="18.75" style="3091" customWidth="1"/>
    <col min="11011" max="11013" width="14.25" style="3091" customWidth="1"/>
    <col min="11014" max="11014" width="11" style="3091" customWidth="1"/>
    <col min="11015" max="11015" width="9" style="3091"/>
    <col min="11016" max="11016" width="13.75" style="3091" customWidth="1"/>
    <col min="11017" max="11264" width="9" style="3091"/>
    <col min="11265" max="11265" width="14.25" style="3091" customWidth="1"/>
    <col min="11266" max="11266" width="18.75" style="3091" customWidth="1"/>
    <col min="11267" max="11269" width="14.25" style="3091" customWidth="1"/>
    <col min="11270" max="11270" width="11" style="3091" customWidth="1"/>
    <col min="11271" max="11271" width="9" style="3091"/>
    <col min="11272" max="11272" width="13.75" style="3091" customWidth="1"/>
    <col min="11273" max="11520" width="9" style="3091"/>
    <col min="11521" max="11521" width="14.25" style="3091" customWidth="1"/>
    <col min="11522" max="11522" width="18.75" style="3091" customWidth="1"/>
    <col min="11523" max="11525" width="14.25" style="3091" customWidth="1"/>
    <col min="11526" max="11526" width="11" style="3091" customWidth="1"/>
    <col min="11527" max="11527" width="9" style="3091"/>
    <col min="11528" max="11528" width="13.75" style="3091" customWidth="1"/>
    <col min="11529" max="11776" width="9" style="3091"/>
    <col min="11777" max="11777" width="14.25" style="3091" customWidth="1"/>
    <col min="11778" max="11778" width="18.75" style="3091" customWidth="1"/>
    <col min="11779" max="11781" width="14.25" style="3091" customWidth="1"/>
    <col min="11782" max="11782" width="11" style="3091" customWidth="1"/>
    <col min="11783" max="11783" width="9" style="3091"/>
    <col min="11784" max="11784" width="13.75" style="3091" customWidth="1"/>
    <col min="11785" max="12032" width="9" style="3091"/>
    <col min="12033" max="12033" width="14.25" style="3091" customWidth="1"/>
    <col min="12034" max="12034" width="18.75" style="3091" customWidth="1"/>
    <col min="12035" max="12037" width="14.25" style="3091" customWidth="1"/>
    <col min="12038" max="12038" width="11" style="3091" customWidth="1"/>
    <col min="12039" max="12039" width="9" style="3091"/>
    <col min="12040" max="12040" width="13.75" style="3091" customWidth="1"/>
    <col min="12041" max="12288" width="9" style="3091"/>
    <col min="12289" max="12289" width="14.25" style="3091" customWidth="1"/>
    <col min="12290" max="12290" width="18.75" style="3091" customWidth="1"/>
    <col min="12291" max="12293" width="14.25" style="3091" customWidth="1"/>
    <col min="12294" max="12294" width="11" style="3091" customWidth="1"/>
    <col min="12295" max="12295" width="9" style="3091"/>
    <col min="12296" max="12296" width="13.75" style="3091" customWidth="1"/>
    <col min="12297" max="12544" width="9" style="3091"/>
    <col min="12545" max="12545" width="14.25" style="3091" customWidth="1"/>
    <col min="12546" max="12546" width="18.75" style="3091" customWidth="1"/>
    <col min="12547" max="12549" width="14.25" style="3091" customWidth="1"/>
    <col min="12550" max="12550" width="11" style="3091" customWidth="1"/>
    <col min="12551" max="12551" width="9" style="3091"/>
    <col min="12552" max="12552" width="13.75" style="3091" customWidth="1"/>
    <col min="12553" max="12800" width="9" style="3091"/>
    <col min="12801" max="12801" width="14.25" style="3091" customWidth="1"/>
    <col min="12802" max="12802" width="18.75" style="3091" customWidth="1"/>
    <col min="12803" max="12805" width="14.25" style="3091" customWidth="1"/>
    <col min="12806" max="12806" width="11" style="3091" customWidth="1"/>
    <col min="12807" max="12807" width="9" style="3091"/>
    <col min="12808" max="12808" width="13.75" style="3091" customWidth="1"/>
    <col min="12809" max="13056" width="9" style="3091"/>
    <col min="13057" max="13057" width="14.25" style="3091" customWidth="1"/>
    <col min="13058" max="13058" width="18.75" style="3091" customWidth="1"/>
    <col min="13059" max="13061" width="14.25" style="3091" customWidth="1"/>
    <col min="13062" max="13062" width="11" style="3091" customWidth="1"/>
    <col min="13063" max="13063" width="9" style="3091"/>
    <col min="13064" max="13064" width="13.75" style="3091" customWidth="1"/>
    <col min="13065" max="13312" width="9" style="3091"/>
    <col min="13313" max="13313" width="14.25" style="3091" customWidth="1"/>
    <col min="13314" max="13314" width="18.75" style="3091" customWidth="1"/>
    <col min="13315" max="13317" width="14.25" style="3091" customWidth="1"/>
    <col min="13318" max="13318" width="11" style="3091" customWidth="1"/>
    <col min="13319" max="13319" width="9" style="3091"/>
    <col min="13320" max="13320" width="13.75" style="3091" customWidth="1"/>
    <col min="13321" max="13568" width="9" style="3091"/>
    <col min="13569" max="13569" width="14.25" style="3091" customWidth="1"/>
    <col min="13570" max="13570" width="18.75" style="3091" customWidth="1"/>
    <col min="13571" max="13573" width="14.25" style="3091" customWidth="1"/>
    <col min="13574" max="13574" width="11" style="3091" customWidth="1"/>
    <col min="13575" max="13575" width="9" style="3091"/>
    <col min="13576" max="13576" width="13.75" style="3091" customWidth="1"/>
    <col min="13577" max="13824" width="9" style="3091"/>
    <col min="13825" max="13825" width="14.25" style="3091" customWidth="1"/>
    <col min="13826" max="13826" width="18.75" style="3091" customWidth="1"/>
    <col min="13827" max="13829" width="14.25" style="3091" customWidth="1"/>
    <col min="13830" max="13830" width="11" style="3091" customWidth="1"/>
    <col min="13831" max="13831" width="9" style="3091"/>
    <col min="13832" max="13832" width="13.75" style="3091" customWidth="1"/>
    <col min="13833" max="14080" width="9" style="3091"/>
    <col min="14081" max="14081" width="14.25" style="3091" customWidth="1"/>
    <col min="14082" max="14082" width="18.75" style="3091" customWidth="1"/>
    <col min="14083" max="14085" width="14.25" style="3091" customWidth="1"/>
    <col min="14086" max="14086" width="11" style="3091" customWidth="1"/>
    <col min="14087" max="14087" width="9" style="3091"/>
    <col min="14088" max="14088" width="13.75" style="3091" customWidth="1"/>
    <col min="14089" max="14336" width="9" style="3091"/>
    <col min="14337" max="14337" width="14.25" style="3091" customWidth="1"/>
    <col min="14338" max="14338" width="18.75" style="3091" customWidth="1"/>
    <col min="14339" max="14341" width="14.25" style="3091" customWidth="1"/>
    <col min="14342" max="14342" width="11" style="3091" customWidth="1"/>
    <col min="14343" max="14343" width="9" style="3091"/>
    <col min="14344" max="14344" width="13.75" style="3091" customWidth="1"/>
    <col min="14345" max="14592" width="9" style="3091"/>
    <col min="14593" max="14593" width="14.25" style="3091" customWidth="1"/>
    <col min="14594" max="14594" width="18.75" style="3091" customWidth="1"/>
    <col min="14595" max="14597" width="14.25" style="3091" customWidth="1"/>
    <col min="14598" max="14598" width="11" style="3091" customWidth="1"/>
    <col min="14599" max="14599" width="9" style="3091"/>
    <col min="14600" max="14600" width="13.75" style="3091" customWidth="1"/>
    <col min="14601" max="14848" width="9" style="3091"/>
    <col min="14849" max="14849" width="14.25" style="3091" customWidth="1"/>
    <col min="14850" max="14850" width="18.75" style="3091" customWidth="1"/>
    <col min="14851" max="14853" width="14.25" style="3091" customWidth="1"/>
    <col min="14854" max="14854" width="11" style="3091" customWidth="1"/>
    <col min="14855" max="14855" width="9" style="3091"/>
    <col min="14856" max="14856" width="13.75" style="3091" customWidth="1"/>
    <col min="14857" max="15104" width="9" style="3091"/>
    <col min="15105" max="15105" width="14.25" style="3091" customWidth="1"/>
    <col min="15106" max="15106" width="18.75" style="3091" customWidth="1"/>
    <col min="15107" max="15109" width="14.25" style="3091" customWidth="1"/>
    <col min="15110" max="15110" width="11" style="3091" customWidth="1"/>
    <col min="15111" max="15111" width="9" style="3091"/>
    <col min="15112" max="15112" width="13.75" style="3091" customWidth="1"/>
    <col min="15113" max="15360" width="9" style="3091"/>
    <col min="15361" max="15361" width="14.25" style="3091" customWidth="1"/>
    <col min="15362" max="15362" width="18.75" style="3091" customWidth="1"/>
    <col min="15363" max="15365" width="14.25" style="3091" customWidth="1"/>
    <col min="15366" max="15366" width="11" style="3091" customWidth="1"/>
    <col min="15367" max="15367" width="9" style="3091"/>
    <col min="15368" max="15368" width="13.75" style="3091" customWidth="1"/>
    <col min="15369" max="15616" width="9" style="3091"/>
    <col min="15617" max="15617" width="14.25" style="3091" customWidth="1"/>
    <col min="15618" max="15618" width="18.75" style="3091" customWidth="1"/>
    <col min="15619" max="15621" width="14.25" style="3091" customWidth="1"/>
    <col min="15622" max="15622" width="11" style="3091" customWidth="1"/>
    <col min="15623" max="15623" width="9" style="3091"/>
    <col min="15624" max="15624" width="13.75" style="3091" customWidth="1"/>
    <col min="15625" max="15872" width="9" style="3091"/>
    <col min="15873" max="15873" width="14.25" style="3091" customWidth="1"/>
    <col min="15874" max="15874" width="18.75" style="3091" customWidth="1"/>
    <col min="15875" max="15877" width="14.25" style="3091" customWidth="1"/>
    <col min="15878" max="15878" width="11" style="3091" customWidth="1"/>
    <col min="15879" max="15879" width="9" style="3091"/>
    <col min="15880" max="15880" width="13.75" style="3091" customWidth="1"/>
    <col min="15881" max="16128" width="9" style="3091"/>
    <col min="16129" max="16129" width="14.25" style="3091" customWidth="1"/>
    <col min="16130" max="16130" width="18.75" style="3091" customWidth="1"/>
    <col min="16131" max="16133" width="14.25" style="3091" customWidth="1"/>
    <col min="16134" max="16134" width="11" style="3091" customWidth="1"/>
    <col min="16135" max="16135" width="9" style="3091"/>
    <col min="16136" max="16136" width="13.75" style="3091" customWidth="1"/>
    <col min="16137" max="16384" width="9" style="3091"/>
  </cols>
  <sheetData>
    <row r="1" spans="1:7" ht="20.25" customHeight="1" thickBot="1">
      <c r="A1" s="3089" t="s">
        <v>7042</v>
      </c>
      <c r="B1" s="3090">
        <f>项目基本情况!D3</f>
        <v>43544</v>
      </c>
    </row>
    <row r="2" spans="1:7" ht="33" customHeight="1">
      <c r="A2" s="3092" t="s">
        <v>7043</v>
      </c>
      <c r="B2" s="3093" t="s">
        <v>7044</v>
      </c>
      <c r="C2" s="3094" t="s">
        <v>7045</v>
      </c>
      <c r="D2" s="3093" t="s">
        <v>7046</v>
      </c>
      <c r="E2" s="3095" t="s">
        <v>7047</v>
      </c>
    </row>
    <row r="3" spans="1:7" ht="20.25" customHeight="1">
      <c r="A3" s="3096">
        <v>50</v>
      </c>
      <c r="B3" s="3097">
        <f>项目基本情况!I13</f>
        <v>51854</v>
      </c>
      <c r="C3" s="3098">
        <f>ROUNDDOWN(MIN((B3-$B$1)/365,A3),2)</f>
        <v>22.76</v>
      </c>
      <c r="D3" s="3099">
        <f>IF(ISERROR(ROUND(POWER(1+E3,A3-C3)*(POWER(1+E3,C3)-1)/(POWER(1+E3,A3)-1),3)),0,ROUND(POWER(1+E3,A3-C3)*(POWER(1+E3,C3)-1)/(POWER(1+E3,A3)-1),3))</f>
        <v>0.71199999999999997</v>
      </c>
      <c r="E3" s="3100">
        <f>'数据-取费表'!H6</f>
        <v>4.4999999999999998E-2</v>
      </c>
    </row>
    <row r="4" spans="1:7" ht="20.25" customHeight="1">
      <c r="A4" s="3096"/>
      <c r="B4" s="3097"/>
      <c r="C4" s="3098">
        <f>ROUNDDOWN(MIN((B4-$B$1)/365,A4),2)</f>
        <v>-119.29</v>
      </c>
      <c r="D4" s="3099">
        <f>IF(ISERROR(ROUND(POWER(1+E4,A4-C4)*(POWER(1+E4,C4)-1)/(POWER(1+E4,A4)-1),3)),0,ROUND(POWER(1+E4,A4-C4)*(POWER(1+E4,C4)-1)/(POWER(1+E4,A4)-1),3))</f>
        <v>0</v>
      </c>
      <c r="E4" s="3100"/>
    </row>
    <row r="5" spans="1:7" ht="20.25" customHeight="1" thickBot="1">
      <c r="A5" s="3101"/>
      <c r="B5" s="3102"/>
      <c r="C5" s="3103">
        <f>ROUNDDOWN(MIN((B5-$B$1)/365,A5),2)</f>
        <v>-119.29</v>
      </c>
      <c r="D5" s="3104">
        <f>IF(ISERROR(ROUND(POWER(1+E5,A5-C5)*(POWER(1+E5,C5)-1)/(POWER(1+E5,A5)-1),3)),0,ROUND(POWER(1+E5,A5-C5)*(POWER(1+E5,C5)-1)/(POWER(1+E5,A5)-1),3))</f>
        <v>0</v>
      </c>
      <c r="E5" s="3105"/>
    </row>
    <row r="6" spans="1:7" ht="20.25" customHeight="1" thickBot="1"/>
    <row r="7" spans="1:7" s="3108" customFormat="1" ht="20.25" customHeight="1" thickBot="1">
      <c r="A7" s="3106" t="s">
        <v>7048</v>
      </c>
      <c r="B7" s="3107"/>
    </row>
    <row r="8" spans="1:7" ht="20.25" customHeight="1" thickBot="1">
      <c r="A8" s="3388" t="s">
        <v>7049</v>
      </c>
      <c r="B8" s="3389"/>
      <c r="C8" s="3109"/>
      <c r="D8" s="3110" t="s">
        <v>7047</v>
      </c>
      <c r="E8" s="3109"/>
      <c r="F8" s="3111" t="s">
        <v>7046</v>
      </c>
    </row>
    <row r="9" spans="1:7" ht="20.25" customHeight="1">
      <c r="A9" s="3112" t="s">
        <v>7050</v>
      </c>
      <c r="B9" s="3113">
        <v>50</v>
      </c>
      <c r="C9" s="3114" t="s">
        <v>7051</v>
      </c>
      <c r="D9" s="3115">
        <f>E3</f>
        <v>4.4999999999999998E-2</v>
      </c>
      <c r="E9" s="3114" t="s">
        <v>7052</v>
      </c>
      <c r="F9" s="3116">
        <f>1-(1/(POWER(1+D9,B9)))</f>
        <v>0.88929035003434787</v>
      </c>
    </row>
    <row r="10" spans="1:7" ht="20.25" customHeight="1" thickBot="1">
      <c r="A10" s="3117" t="s">
        <v>7053</v>
      </c>
      <c r="B10" s="3118">
        <v>30</v>
      </c>
      <c r="C10" s="3119" t="s">
        <v>7054</v>
      </c>
      <c r="D10" s="3120">
        <f>E3</f>
        <v>4.4999999999999998E-2</v>
      </c>
      <c r="E10" s="3119" t="s">
        <v>7055</v>
      </c>
      <c r="F10" s="3121">
        <f>1-(1/(POWER(1+D10,B10)))</f>
        <v>0.73299998449299697</v>
      </c>
      <c r="G10" s="3091">
        <f>1-(1/(POWER(1+D10,C3)))</f>
        <v>0.63279107393882528</v>
      </c>
    </row>
    <row r="11" spans="1:7" ht="20.25" customHeight="1" thickBot="1">
      <c r="A11" s="3122" t="s">
        <v>7056</v>
      </c>
      <c r="B11" s="3123"/>
      <c r="C11" s="3123"/>
      <c r="D11" s="3123"/>
      <c r="E11" s="3123"/>
      <c r="F11" s="3123"/>
    </row>
    <row r="12" spans="1:7" ht="20.25" customHeight="1">
      <c r="A12" s="3112" t="s">
        <v>7057</v>
      </c>
      <c r="B12" s="3124">
        <v>5000</v>
      </c>
      <c r="E12" s="3125">
        <f>G10</f>
        <v>0.63279107393882528</v>
      </c>
      <c r="F12" s="3137">
        <f>C3</f>
        <v>22.76</v>
      </c>
    </row>
    <row r="13" spans="1:7" ht="20.25" customHeight="1" thickBot="1">
      <c r="A13" s="3117" t="s">
        <v>7058</v>
      </c>
      <c r="B13" s="3126">
        <f>ROUND(B12*F10/F9,2)</f>
        <v>4121.26</v>
      </c>
      <c r="C13" s="3091">
        <f>ROUND(B13/B12,3)</f>
        <v>0.82399999999999995</v>
      </c>
      <c r="E13" s="3125">
        <f>F10</f>
        <v>0.73299998449299697</v>
      </c>
      <c r="F13" s="3125">
        <v>30</v>
      </c>
    </row>
    <row r="14" spans="1:7" ht="20.25" customHeight="1" thickBot="1">
      <c r="A14" s="3122" t="s">
        <v>7059</v>
      </c>
      <c r="B14" s="3127"/>
    </row>
    <row r="15" spans="1:7" ht="20.25" customHeight="1">
      <c r="A15" s="3114" t="s">
        <v>7060</v>
      </c>
      <c r="B15" s="3128">
        <v>4810</v>
      </c>
    </row>
    <row r="16" spans="1:7" ht="20.25" customHeight="1" thickBot="1">
      <c r="A16" s="3119" t="s">
        <v>7061</v>
      </c>
      <c r="B16" s="3129">
        <f>ROUND(B15*F9/F10,2)</f>
        <v>5835.59</v>
      </c>
      <c r="C16" s="3091">
        <f>ROUND(B16/B15,3)</f>
        <v>1.2130000000000001</v>
      </c>
    </row>
  </sheetData>
  <mergeCells count="1">
    <mergeCell ref="A8:B8"/>
  </mergeCells>
  <phoneticPr fontId="264" type="noConversion"/>
  <dataValidations disablePrompts="1"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3"/>
  <sheetViews>
    <sheetView zoomScale="85" zoomScaleNormal="85" workbookViewId="0">
      <selection activeCell="G20" sqref="G20"/>
    </sheetView>
  </sheetViews>
  <sheetFormatPr defaultRowHeight="13.5"/>
  <cols>
    <col min="1" max="1" width="27.625" style="3049" customWidth="1"/>
    <col min="2" max="6" width="0" style="3049" hidden="1" customWidth="1"/>
    <col min="7" max="8" width="13.75" style="3049" customWidth="1"/>
    <col min="9" max="10" width="17.125" style="3049" customWidth="1"/>
    <col min="11" max="11" width="9" style="3049"/>
    <col min="12" max="12" width="13.75" style="3049" customWidth="1"/>
    <col min="13" max="13" width="16.125" style="3049" customWidth="1"/>
    <col min="14" max="14" width="20.25" style="3049" customWidth="1"/>
    <col min="15" max="15" width="15" style="3049" customWidth="1"/>
    <col min="16" max="17" width="18.625" style="3049" customWidth="1"/>
    <col min="18" max="19" width="9" style="3049"/>
    <col min="20" max="20" width="0" hidden="1" customWidth="1"/>
  </cols>
  <sheetData>
    <row r="1" spans="1:20" s="1635" customFormat="1" ht="26.25" customHeight="1">
      <c r="A1" s="3049" t="s">
        <v>3323</v>
      </c>
      <c r="B1" s="3049" t="s">
        <v>3324</v>
      </c>
      <c r="C1" s="3049" t="s">
        <v>3325</v>
      </c>
      <c r="D1" s="3049" t="s">
        <v>3326</v>
      </c>
      <c r="E1" s="3049" t="s">
        <v>3327</v>
      </c>
      <c r="F1" s="3049" t="s">
        <v>3328</v>
      </c>
      <c r="G1" s="3049" t="s">
        <v>3329</v>
      </c>
      <c r="H1" s="3049" t="s">
        <v>3330</v>
      </c>
      <c r="I1" s="3049" t="s">
        <v>3331</v>
      </c>
      <c r="J1" s="3049" t="s">
        <v>3332</v>
      </c>
      <c r="K1" s="3049" t="s">
        <v>3333</v>
      </c>
      <c r="L1" s="3049" t="s">
        <v>3334</v>
      </c>
      <c r="M1" s="3049" t="s">
        <v>3335</v>
      </c>
      <c r="N1" s="3049" t="s">
        <v>3336</v>
      </c>
      <c r="O1" s="3049" t="s">
        <v>3337</v>
      </c>
      <c r="P1" s="3049" t="s">
        <v>3338</v>
      </c>
      <c r="Q1" s="3049" t="s">
        <v>3339</v>
      </c>
      <c r="R1" s="3049" t="s">
        <v>3340</v>
      </c>
      <c r="S1" s="3049" t="s">
        <v>3341</v>
      </c>
      <c r="T1" s="1635" t="s">
        <v>3342</v>
      </c>
    </row>
    <row r="2" spans="1:20" s="1635" customFormat="1" ht="26.25" customHeight="1">
      <c r="A2" s="3049" t="s">
        <v>3343</v>
      </c>
      <c r="B2" s="3049" t="s">
        <v>3344</v>
      </c>
      <c r="C2" s="3049" t="s">
        <v>3345</v>
      </c>
      <c r="D2" s="3049" t="s">
        <v>1327</v>
      </c>
      <c r="E2" s="3049" t="s">
        <v>3343</v>
      </c>
      <c r="F2" s="3049" t="s">
        <v>3346</v>
      </c>
      <c r="G2" s="3049" t="s">
        <v>3347</v>
      </c>
      <c r="H2" s="3049" t="s">
        <v>3345</v>
      </c>
      <c r="I2" s="3049">
        <v>17648.03</v>
      </c>
      <c r="J2" s="3049">
        <v>70394</v>
      </c>
      <c r="K2" s="3049">
        <v>4</v>
      </c>
      <c r="L2" s="3049" t="s">
        <v>3348</v>
      </c>
      <c r="M2" s="3049" t="s">
        <v>3349</v>
      </c>
      <c r="N2" s="3049" t="s">
        <v>3350</v>
      </c>
      <c r="O2" s="3049">
        <v>7200</v>
      </c>
      <c r="P2" s="3049">
        <v>271.99</v>
      </c>
      <c r="Q2" s="3049">
        <v>1022.8</v>
      </c>
      <c r="R2" s="3049">
        <v>0</v>
      </c>
      <c r="S2" s="3049" t="s">
        <v>3351</v>
      </c>
      <c r="T2" s="1635" t="s">
        <v>3352</v>
      </c>
    </row>
    <row r="3" spans="1:20" s="1635" customFormat="1" ht="26.25" customHeight="1">
      <c r="A3" s="3049" t="s">
        <v>3353</v>
      </c>
      <c r="B3" s="3049" t="s">
        <v>3344</v>
      </c>
      <c r="C3" s="3049" t="s">
        <v>3345</v>
      </c>
      <c r="D3" s="3049" t="s">
        <v>1327</v>
      </c>
      <c r="E3" s="3049" t="s">
        <v>3353</v>
      </c>
      <c r="F3" s="3049" t="s">
        <v>3346</v>
      </c>
      <c r="G3" s="3049" t="s">
        <v>3354</v>
      </c>
      <c r="H3" s="3049" t="s">
        <v>3345</v>
      </c>
      <c r="I3" s="3049">
        <v>7394.36</v>
      </c>
      <c r="J3" s="3049">
        <v>29577</v>
      </c>
      <c r="K3" s="3049" t="s">
        <v>1327</v>
      </c>
      <c r="L3" s="3049" t="s">
        <v>3348</v>
      </c>
      <c r="M3" s="3049" t="s">
        <v>3355</v>
      </c>
      <c r="N3" s="3049" t="s">
        <v>3356</v>
      </c>
      <c r="O3" s="3049">
        <v>3270</v>
      </c>
      <c r="P3" s="3049">
        <v>294.82</v>
      </c>
      <c r="Q3" s="3049">
        <v>1105.58</v>
      </c>
      <c r="R3" s="3049">
        <v>4.9400000000000004</v>
      </c>
      <c r="S3" s="3049" t="s">
        <v>3351</v>
      </c>
      <c r="T3" s="1635" t="s">
        <v>3352</v>
      </c>
    </row>
    <row r="4" spans="1:20" s="1635" customFormat="1" ht="26.25" customHeight="1">
      <c r="A4" s="3049" t="s">
        <v>3357</v>
      </c>
      <c r="B4" s="3049" t="s">
        <v>3344</v>
      </c>
      <c r="C4" s="3049" t="s">
        <v>3345</v>
      </c>
      <c r="D4" s="3049" t="s">
        <v>1327</v>
      </c>
      <c r="E4" s="3049" t="s">
        <v>3357</v>
      </c>
      <c r="F4" s="3049" t="s">
        <v>3346</v>
      </c>
      <c r="G4" s="3049" t="s">
        <v>3358</v>
      </c>
      <c r="H4" s="3049" t="s">
        <v>3359</v>
      </c>
      <c r="I4" s="3049">
        <v>18000.22</v>
      </c>
      <c r="J4" s="3049">
        <v>86400</v>
      </c>
      <c r="K4" s="3049">
        <v>4.8</v>
      </c>
      <c r="L4" s="3049" t="s">
        <v>3360</v>
      </c>
      <c r="M4" s="3049" t="s">
        <v>3361</v>
      </c>
      <c r="N4" s="3049" t="s">
        <v>3362</v>
      </c>
      <c r="O4" s="3049">
        <v>18300</v>
      </c>
      <c r="P4" s="3049">
        <v>677.77</v>
      </c>
      <c r="Q4" s="3049">
        <v>2118.0500000000002</v>
      </c>
      <c r="R4" s="3049">
        <v>0</v>
      </c>
      <c r="S4" s="3049" t="s">
        <v>3351</v>
      </c>
      <c r="T4" s="1635" t="s">
        <v>3352</v>
      </c>
    </row>
    <row r="5" spans="1:20" s="1635" customFormat="1" ht="26.25" customHeight="1">
      <c r="A5" s="3049" t="s">
        <v>3363</v>
      </c>
      <c r="B5" s="3049" t="s">
        <v>3344</v>
      </c>
      <c r="C5" s="3049" t="s">
        <v>3345</v>
      </c>
      <c r="D5" s="3049" t="s">
        <v>1327</v>
      </c>
      <c r="E5" s="3049" t="s">
        <v>3363</v>
      </c>
      <c r="F5" s="3049" t="s">
        <v>3346</v>
      </c>
      <c r="G5" s="3049" t="s">
        <v>3364</v>
      </c>
      <c r="H5" s="3049" t="s">
        <v>3365</v>
      </c>
      <c r="I5" s="3049">
        <v>14219.71</v>
      </c>
      <c r="J5" s="3049">
        <v>21320</v>
      </c>
      <c r="K5" s="3049" t="s">
        <v>1327</v>
      </c>
      <c r="L5" s="3049" t="s">
        <v>3366</v>
      </c>
      <c r="M5" s="3049" t="s">
        <v>3367</v>
      </c>
      <c r="N5" s="3049" t="s">
        <v>3368</v>
      </c>
      <c r="O5" s="3049">
        <v>2700</v>
      </c>
      <c r="P5" s="3049">
        <v>126.58</v>
      </c>
      <c r="Q5" s="3049">
        <v>1266.42</v>
      </c>
      <c r="R5" s="3049">
        <v>0</v>
      </c>
      <c r="S5" s="3049" t="s">
        <v>3369</v>
      </c>
      <c r="T5" s="1635" t="s">
        <v>3352</v>
      </c>
    </row>
    <row r="6" spans="1:20" s="1635" customFormat="1" ht="26.25" customHeight="1">
      <c r="A6" s="3049" t="s">
        <v>3363</v>
      </c>
      <c r="B6" s="3049" t="s">
        <v>3344</v>
      </c>
      <c r="C6" s="3049" t="s">
        <v>3345</v>
      </c>
      <c r="D6" s="3049" t="s">
        <v>1327</v>
      </c>
      <c r="E6" s="3049" t="s">
        <v>3363</v>
      </c>
      <c r="F6" s="3049" t="s">
        <v>3346</v>
      </c>
      <c r="G6" s="3049" t="s">
        <v>3370</v>
      </c>
      <c r="H6" s="3049" t="s">
        <v>3365</v>
      </c>
      <c r="I6" s="3049">
        <v>33132.85</v>
      </c>
      <c r="J6" s="3049">
        <v>89450</v>
      </c>
      <c r="K6" s="3049" t="s">
        <v>1327</v>
      </c>
      <c r="L6" s="3049" t="s">
        <v>3366</v>
      </c>
      <c r="M6" s="3049" t="s">
        <v>3367</v>
      </c>
      <c r="N6" s="3049" t="s">
        <v>3371</v>
      </c>
      <c r="O6" s="3049">
        <v>12100</v>
      </c>
      <c r="P6" s="3049">
        <v>243.46</v>
      </c>
      <c r="Q6" s="3049">
        <v>1352.71</v>
      </c>
      <c r="R6" s="3049">
        <v>0</v>
      </c>
      <c r="S6" s="3049" t="s">
        <v>3369</v>
      </c>
      <c r="T6" s="1635" t="s">
        <v>3352</v>
      </c>
    </row>
    <row r="7" spans="1:20" s="1635" customFormat="1" ht="26.25" customHeight="1">
      <c r="A7" s="3049" t="s">
        <v>3372</v>
      </c>
      <c r="B7" s="3049" t="s">
        <v>3344</v>
      </c>
      <c r="C7" s="3049" t="s">
        <v>3345</v>
      </c>
      <c r="D7" s="3049" t="s">
        <v>1327</v>
      </c>
      <c r="E7" s="3049" t="s">
        <v>3373</v>
      </c>
      <c r="F7" s="3049" t="s">
        <v>3346</v>
      </c>
      <c r="G7" s="3049" t="s">
        <v>3374</v>
      </c>
      <c r="H7" s="3049" t="s">
        <v>3375</v>
      </c>
      <c r="I7" s="3049">
        <v>7592.39</v>
      </c>
      <c r="J7" s="3049">
        <v>22776</v>
      </c>
      <c r="K7" s="3049" t="s">
        <v>3376</v>
      </c>
      <c r="L7" s="3049" t="s">
        <v>3377</v>
      </c>
      <c r="M7" s="3049" t="s">
        <v>3378</v>
      </c>
      <c r="N7" s="3049" t="s">
        <v>3379</v>
      </c>
      <c r="O7" s="3049">
        <v>2398</v>
      </c>
      <c r="P7" s="3049">
        <v>210.56</v>
      </c>
      <c r="Q7" s="3049">
        <v>1052.8499999999999</v>
      </c>
      <c r="R7" s="3049">
        <v>0</v>
      </c>
      <c r="S7" s="3049" t="s">
        <v>1327</v>
      </c>
      <c r="T7" s="1635" t="s">
        <v>3352</v>
      </c>
    </row>
    <row r="8" spans="1:20" s="1635" customFormat="1" ht="26.25" customHeight="1">
      <c r="A8" s="3049" t="s">
        <v>3380</v>
      </c>
      <c r="B8" s="3049" t="s">
        <v>3344</v>
      </c>
      <c r="C8" s="3049" t="s">
        <v>3345</v>
      </c>
      <c r="D8" s="3049" t="s">
        <v>1327</v>
      </c>
      <c r="E8" s="3049" t="s">
        <v>3380</v>
      </c>
      <c r="F8" s="3049" t="s">
        <v>3346</v>
      </c>
      <c r="G8" s="3049" t="s">
        <v>3381</v>
      </c>
      <c r="H8" s="3049" t="s">
        <v>3382</v>
      </c>
      <c r="I8" s="3049">
        <v>4537.6000000000004</v>
      </c>
      <c r="J8" s="3049">
        <v>27220</v>
      </c>
      <c r="K8" s="3049">
        <v>6</v>
      </c>
      <c r="L8" s="3049" t="s">
        <v>3383</v>
      </c>
      <c r="M8" s="3049" t="s">
        <v>3384</v>
      </c>
      <c r="N8" s="3049" t="s">
        <v>3385</v>
      </c>
      <c r="O8" s="3049">
        <v>7300</v>
      </c>
      <c r="P8" s="3049">
        <v>1072.52</v>
      </c>
      <c r="Q8" s="3049">
        <v>2681.84</v>
      </c>
      <c r="R8" s="3049">
        <v>10.61</v>
      </c>
      <c r="S8" s="3049" t="s">
        <v>3351</v>
      </c>
      <c r="T8" s="1635" t="s">
        <v>3386</v>
      </c>
    </row>
    <row r="9" spans="1:20" s="1635" customFormat="1" ht="26.25" customHeight="1">
      <c r="A9" s="3049" t="s">
        <v>3380</v>
      </c>
      <c r="B9" s="3049" t="s">
        <v>3344</v>
      </c>
      <c r="C9" s="3049" t="s">
        <v>3345</v>
      </c>
      <c r="D9" s="3049" t="s">
        <v>1327</v>
      </c>
      <c r="E9" s="3049" t="s">
        <v>3380</v>
      </c>
      <c r="F9" s="3049" t="s">
        <v>3346</v>
      </c>
      <c r="G9" s="3049" t="s">
        <v>3387</v>
      </c>
      <c r="H9" s="3049" t="s">
        <v>3388</v>
      </c>
      <c r="I9" s="3049">
        <v>4226.59</v>
      </c>
      <c r="J9" s="3049">
        <v>25350</v>
      </c>
      <c r="K9" s="3049">
        <v>6</v>
      </c>
      <c r="L9" s="3049" t="s">
        <v>3383</v>
      </c>
      <c r="M9" s="3049" t="s">
        <v>3384</v>
      </c>
      <c r="N9" s="3049" t="s">
        <v>3389</v>
      </c>
      <c r="O9" s="3049">
        <v>10500</v>
      </c>
      <c r="P9" s="3049">
        <v>1656.18</v>
      </c>
      <c r="Q9" s="3049">
        <v>4142.01</v>
      </c>
      <c r="R9" s="3049">
        <v>0</v>
      </c>
      <c r="S9" s="3049" t="s">
        <v>3351</v>
      </c>
      <c r="T9" s="1635" t="s">
        <v>3386</v>
      </c>
    </row>
    <row r="10" spans="1:20" s="1635" customFormat="1" ht="26.25" customHeight="1">
      <c r="A10" s="3049" t="s">
        <v>3380</v>
      </c>
      <c r="B10" s="3049" t="s">
        <v>3344</v>
      </c>
      <c r="C10" s="3049" t="s">
        <v>3345</v>
      </c>
      <c r="D10" s="3049" t="s">
        <v>1327</v>
      </c>
      <c r="E10" s="3049" t="s">
        <v>3380</v>
      </c>
      <c r="F10" s="3049" t="s">
        <v>3346</v>
      </c>
      <c r="G10" s="3049" t="s">
        <v>3390</v>
      </c>
      <c r="H10" s="3049" t="s">
        <v>3391</v>
      </c>
      <c r="I10" s="3049">
        <v>4757.72</v>
      </c>
      <c r="J10" s="3049">
        <v>28540</v>
      </c>
      <c r="K10" s="3049">
        <v>6</v>
      </c>
      <c r="L10" s="3049" t="s">
        <v>3383</v>
      </c>
      <c r="M10" s="3049" t="s">
        <v>3384</v>
      </c>
      <c r="N10" s="3049" t="s">
        <v>3392</v>
      </c>
      <c r="O10" s="3049">
        <v>11700</v>
      </c>
      <c r="P10" s="3049">
        <v>1639.44</v>
      </c>
      <c r="Q10" s="3049">
        <v>4099.51</v>
      </c>
      <c r="R10" s="3049">
        <v>0</v>
      </c>
      <c r="S10" s="3049" t="s">
        <v>3351</v>
      </c>
      <c r="T10" s="1635" t="s">
        <v>3386</v>
      </c>
    </row>
    <row r="11" spans="1:20" s="1635" customFormat="1" ht="26.25" customHeight="1">
      <c r="A11" s="3049" t="s">
        <v>3380</v>
      </c>
      <c r="B11" s="3049" t="s">
        <v>3344</v>
      </c>
      <c r="C11" s="3049" t="s">
        <v>3345</v>
      </c>
      <c r="D11" s="3049" t="s">
        <v>1327</v>
      </c>
      <c r="E11" s="3049" t="s">
        <v>3380</v>
      </c>
      <c r="F11" s="3049" t="s">
        <v>3346</v>
      </c>
      <c r="G11" s="3049" t="s">
        <v>3393</v>
      </c>
      <c r="H11" s="3049" t="s">
        <v>3394</v>
      </c>
      <c r="I11" s="3049">
        <v>6207.18</v>
      </c>
      <c r="J11" s="3049">
        <v>37240</v>
      </c>
      <c r="K11" s="3049">
        <v>6</v>
      </c>
      <c r="L11" s="3049" t="s">
        <v>3383</v>
      </c>
      <c r="M11" s="3049" t="s">
        <v>3384</v>
      </c>
      <c r="N11" s="3049" t="s">
        <v>3395</v>
      </c>
      <c r="O11" s="3049">
        <v>8900</v>
      </c>
      <c r="P11" s="3049">
        <v>955.88</v>
      </c>
      <c r="Q11" s="3049">
        <v>2389.9</v>
      </c>
      <c r="R11" s="3049">
        <v>0</v>
      </c>
      <c r="S11" s="3049" t="s">
        <v>3351</v>
      </c>
      <c r="T11" s="1635" t="s">
        <v>3386</v>
      </c>
    </row>
    <row r="12" spans="1:20" s="1635" customFormat="1" ht="26.25" customHeight="1">
      <c r="A12" s="3049" t="s">
        <v>3380</v>
      </c>
      <c r="B12" s="3049" t="s">
        <v>3344</v>
      </c>
      <c r="C12" s="3049" t="s">
        <v>3345</v>
      </c>
      <c r="D12" s="3049" t="s">
        <v>1327</v>
      </c>
      <c r="E12" s="3049" t="s">
        <v>3380</v>
      </c>
      <c r="F12" s="3049" t="s">
        <v>3346</v>
      </c>
      <c r="G12" s="3049" t="s">
        <v>3396</v>
      </c>
      <c r="H12" s="3049" t="s">
        <v>1327</v>
      </c>
      <c r="I12" s="3049">
        <v>4186.17</v>
      </c>
      <c r="J12" s="3049">
        <v>25110</v>
      </c>
      <c r="K12" s="3049">
        <v>6</v>
      </c>
      <c r="L12" s="3049" t="s">
        <v>3383</v>
      </c>
      <c r="M12" s="3049" t="s">
        <v>3384</v>
      </c>
      <c r="N12" s="3049" t="s">
        <v>3397</v>
      </c>
      <c r="O12" s="3049">
        <v>5900</v>
      </c>
      <c r="P12" s="3049">
        <v>939.6</v>
      </c>
      <c r="Q12" s="3049">
        <v>2349.65</v>
      </c>
      <c r="R12" s="3049">
        <v>0</v>
      </c>
      <c r="S12" s="3049" t="s">
        <v>3351</v>
      </c>
      <c r="T12" s="1635" t="s">
        <v>3386</v>
      </c>
    </row>
    <row r="13" spans="1:20" s="1635" customFormat="1" ht="26.25" customHeight="1">
      <c r="A13" s="3049" t="s">
        <v>3398</v>
      </c>
      <c r="B13" s="3049" t="s">
        <v>3344</v>
      </c>
      <c r="C13" s="3049" t="s">
        <v>3345</v>
      </c>
      <c r="D13" s="3049" t="s">
        <v>1327</v>
      </c>
      <c r="E13" s="3049" t="s">
        <v>3398</v>
      </c>
      <c r="F13" s="3049" t="s">
        <v>3346</v>
      </c>
      <c r="G13" s="3049" t="s">
        <v>3399</v>
      </c>
      <c r="H13" s="3049" t="s">
        <v>3400</v>
      </c>
      <c r="I13" s="3049">
        <v>96095</v>
      </c>
      <c r="J13" s="3049">
        <v>384380</v>
      </c>
      <c r="K13" s="3049" t="s">
        <v>3401</v>
      </c>
      <c r="L13" s="3049" t="s">
        <v>3402</v>
      </c>
      <c r="M13" s="3049" t="s">
        <v>3403</v>
      </c>
      <c r="N13" s="3049" t="s">
        <v>3404</v>
      </c>
      <c r="O13" s="3049">
        <v>28600</v>
      </c>
      <c r="P13" s="3049">
        <v>198.41</v>
      </c>
      <c r="Q13" s="3049">
        <v>744.05</v>
      </c>
      <c r="R13" s="3049">
        <v>0</v>
      </c>
      <c r="S13" s="3049" t="s">
        <v>3369</v>
      </c>
      <c r="T13" s="1635" t="s">
        <v>3386</v>
      </c>
    </row>
    <row r="14" spans="1:20" s="1635" customFormat="1" ht="26.25" customHeight="1">
      <c r="A14" s="3049" t="s">
        <v>3405</v>
      </c>
      <c r="B14" s="3049" t="s">
        <v>3344</v>
      </c>
      <c r="C14" s="3049" t="s">
        <v>3345</v>
      </c>
      <c r="D14" s="3049" t="s">
        <v>1327</v>
      </c>
      <c r="E14" s="3049" t="s">
        <v>3405</v>
      </c>
      <c r="F14" s="3049" t="s">
        <v>3406</v>
      </c>
      <c r="G14" s="3049" t="s">
        <v>3407</v>
      </c>
      <c r="H14" s="3049" t="s">
        <v>3359</v>
      </c>
      <c r="I14" s="3049">
        <v>12411.16</v>
      </c>
      <c r="J14" s="3049">
        <v>57090</v>
      </c>
      <c r="K14" s="3049">
        <v>4.5999999999999996</v>
      </c>
      <c r="L14" s="3049" t="s">
        <v>3408</v>
      </c>
      <c r="M14" s="3049" t="s">
        <v>3409</v>
      </c>
      <c r="N14" s="3049" t="s">
        <v>3410</v>
      </c>
      <c r="O14" s="3049">
        <v>23300</v>
      </c>
      <c r="P14" s="3049">
        <v>1251.56</v>
      </c>
      <c r="Q14" s="3049">
        <v>4081.28</v>
      </c>
      <c r="R14" s="3049">
        <v>0</v>
      </c>
      <c r="S14" s="3049" t="s">
        <v>3369</v>
      </c>
      <c r="T14" s="1635" t="s">
        <v>3352</v>
      </c>
    </row>
    <row r="15" spans="1:20" s="3051" customFormat="1" ht="26.25" customHeight="1">
      <c r="A15" s="3050" t="s">
        <v>3411</v>
      </c>
      <c r="B15" s="3050" t="s">
        <v>3344</v>
      </c>
      <c r="C15" s="3050" t="s">
        <v>3345</v>
      </c>
      <c r="D15" s="3050" t="s">
        <v>1327</v>
      </c>
      <c r="E15" s="3050" t="s">
        <v>3411</v>
      </c>
      <c r="F15" s="3050" t="s">
        <v>3346</v>
      </c>
      <c r="G15" s="3050" t="s">
        <v>3412</v>
      </c>
      <c r="H15" s="3050" t="s">
        <v>3413</v>
      </c>
      <c r="I15" s="3050">
        <v>22731.119999999999</v>
      </c>
      <c r="J15" s="3050">
        <v>68190</v>
      </c>
      <c r="K15" s="3050">
        <v>3</v>
      </c>
      <c r="L15" s="3050" t="s">
        <v>3408</v>
      </c>
      <c r="M15" s="3050" t="s">
        <v>3409</v>
      </c>
      <c r="N15" s="3050" t="s">
        <v>3414</v>
      </c>
      <c r="O15" s="3050">
        <v>21700</v>
      </c>
      <c r="P15" s="3050">
        <v>636.42999999999995</v>
      </c>
      <c r="Q15" s="3050">
        <v>3182.28</v>
      </c>
      <c r="R15" s="3050">
        <v>0</v>
      </c>
      <c r="S15" s="3050" t="s">
        <v>3369</v>
      </c>
      <c r="T15" s="3051" t="s">
        <v>3352</v>
      </c>
    </row>
    <row r="16" spans="1:20" s="1635" customFormat="1" ht="26.25" customHeight="1">
      <c r="A16" s="3049" t="s">
        <v>3415</v>
      </c>
      <c r="B16" s="3049" t="s">
        <v>3344</v>
      </c>
      <c r="C16" s="3049" t="s">
        <v>3345</v>
      </c>
      <c r="D16" s="3049" t="s">
        <v>1327</v>
      </c>
      <c r="E16" s="3049" t="s">
        <v>3415</v>
      </c>
      <c r="F16" s="3049" t="s">
        <v>3346</v>
      </c>
      <c r="G16" s="3049" t="s">
        <v>3416</v>
      </c>
      <c r="H16" s="3049" t="s">
        <v>3413</v>
      </c>
      <c r="I16" s="3049">
        <v>17999.82</v>
      </c>
      <c r="J16" s="3049">
        <v>46800</v>
      </c>
      <c r="K16" s="3049">
        <v>2.6</v>
      </c>
      <c r="L16" s="3049" t="s">
        <v>3408</v>
      </c>
      <c r="M16" s="3049" t="s">
        <v>3409</v>
      </c>
      <c r="N16" s="3049" t="s">
        <v>3417</v>
      </c>
      <c r="O16" s="3049">
        <v>7842</v>
      </c>
      <c r="P16" s="3049">
        <v>290.45</v>
      </c>
      <c r="Q16" s="3049">
        <v>1675.64</v>
      </c>
      <c r="R16" s="3049">
        <v>0</v>
      </c>
      <c r="S16" s="3049" t="s">
        <v>3369</v>
      </c>
      <c r="T16" s="1635" t="s">
        <v>3352</v>
      </c>
    </row>
    <row r="17" spans="1:20" s="1635" customFormat="1" ht="26.25" customHeight="1">
      <c r="A17" s="3049" t="s">
        <v>3415</v>
      </c>
      <c r="B17" s="3049" t="s">
        <v>3344</v>
      </c>
      <c r="C17" s="3049" t="s">
        <v>3345</v>
      </c>
      <c r="D17" s="3049" t="s">
        <v>1327</v>
      </c>
      <c r="E17" s="3049" t="s">
        <v>3415</v>
      </c>
      <c r="F17" s="3049" t="s">
        <v>3346</v>
      </c>
      <c r="G17" s="3049" t="s">
        <v>3418</v>
      </c>
      <c r="H17" s="3049" t="s">
        <v>3413</v>
      </c>
      <c r="I17" s="3049">
        <v>6810.58</v>
      </c>
      <c r="J17" s="3049">
        <v>8853</v>
      </c>
      <c r="K17" s="3049">
        <v>1.3</v>
      </c>
      <c r="L17" s="3049" t="s">
        <v>3419</v>
      </c>
      <c r="M17" s="3049" t="s">
        <v>3420</v>
      </c>
      <c r="N17" s="3049" t="s">
        <v>3421</v>
      </c>
      <c r="O17" s="3049">
        <v>1800</v>
      </c>
      <c r="P17" s="3049">
        <v>176.2</v>
      </c>
      <c r="Q17" s="3049">
        <v>2033.21</v>
      </c>
      <c r="R17" s="3049">
        <v>80.36</v>
      </c>
      <c r="S17" s="3049" t="s">
        <v>3369</v>
      </c>
      <c r="T17" s="1635" t="s">
        <v>3352</v>
      </c>
    </row>
    <row r="18" spans="1:20" s="1635" customFormat="1" ht="26.25" customHeight="1">
      <c r="A18" s="3049" t="s">
        <v>3415</v>
      </c>
      <c r="B18" s="3049" t="s">
        <v>3344</v>
      </c>
      <c r="C18" s="3049" t="s">
        <v>3345</v>
      </c>
      <c r="D18" s="3049" t="s">
        <v>1327</v>
      </c>
      <c r="E18" s="3049" t="s">
        <v>3415</v>
      </c>
      <c r="F18" s="3049" t="s">
        <v>3346</v>
      </c>
      <c r="G18" s="3049" t="s">
        <v>3422</v>
      </c>
      <c r="H18" s="3049" t="s">
        <v>3413</v>
      </c>
      <c r="I18" s="3049">
        <v>12881.03</v>
      </c>
      <c r="J18" s="3049">
        <v>24473</v>
      </c>
      <c r="K18" s="3049">
        <v>1.9</v>
      </c>
      <c r="L18" s="3049" t="s">
        <v>3419</v>
      </c>
      <c r="M18" s="3049" t="s">
        <v>3420</v>
      </c>
      <c r="N18" s="3061" t="s">
        <v>3508</v>
      </c>
      <c r="O18" s="3049">
        <v>3735</v>
      </c>
      <c r="P18" s="3049">
        <v>193.31</v>
      </c>
      <c r="Q18" s="3049">
        <v>1526.17</v>
      </c>
      <c r="R18" s="3049">
        <v>0</v>
      </c>
      <c r="S18" s="3049" t="s">
        <v>3369</v>
      </c>
      <c r="T18" s="1635" t="s">
        <v>3352</v>
      </c>
    </row>
    <row r="19" spans="1:20" s="1635" customFormat="1" ht="26.25" customHeight="1">
      <c r="A19" s="3049" t="s">
        <v>3423</v>
      </c>
      <c r="B19" s="3049" t="s">
        <v>3344</v>
      </c>
      <c r="C19" s="3049" t="s">
        <v>3345</v>
      </c>
      <c r="D19" s="3049" t="s">
        <v>1327</v>
      </c>
      <c r="E19" s="3049" t="s">
        <v>3423</v>
      </c>
      <c r="F19" s="3049" t="s">
        <v>3346</v>
      </c>
      <c r="G19" s="3049" t="s">
        <v>3424</v>
      </c>
      <c r="H19" s="3049" t="s">
        <v>3345</v>
      </c>
      <c r="I19" s="3049">
        <v>23665.94</v>
      </c>
      <c r="J19" s="3049">
        <v>33132</v>
      </c>
      <c r="K19" s="3049">
        <v>1.4</v>
      </c>
      <c r="L19" s="3049" t="s">
        <v>3425</v>
      </c>
      <c r="M19" s="3049" t="s">
        <v>3426</v>
      </c>
      <c r="N19" s="3049" t="s">
        <v>3427</v>
      </c>
      <c r="O19" s="3049">
        <v>5800</v>
      </c>
      <c r="P19" s="3049">
        <v>163.38999999999999</v>
      </c>
      <c r="Q19" s="3049">
        <v>1750.56</v>
      </c>
      <c r="R19" s="3049">
        <v>0</v>
      </c>
      <c r="S19" s="3049" t="s">
        <v>3369</v>
      </c>
      <c r="T19" s="1635" t="s">
        <v>3352</v>
      </c>
    </row>
    <row r="20" spans="1:20" s="1635" customFormat="1" ht="26.25" customHeight="1">
      <c r="A20" s="3049" t="s">
        <v>3423</v>
      </c>
      <c r="B20" s="3049" t="s">
        <v>3344</v>
      </c>
      <c r="C20" s="3049" t="s">
        <v>3345</v>
      </c>
      <c r="D20" s="3049" t="s">
        <v>1327</v>
      </c>
      <c r="E20" s="3049" t="s">
        <v>3423</v>
      </c>
      <c r="F20" s="3049" t="s">
        <v>3346</v>
      </c>
      <c r="G20" s="3049" t="s">
        <v>3428</v>
      </c>
      <c r="H20" s="3049" t="s">
        <v>3345</v>
      </c>
      <c r="I20" s="3049">
        <v>10465.790000000001</v>
      </c>
      <c r="J20" s="3049">
        <v>41863</v>
      </c>
      <c r="K20" s="3049">
        <v>4</v>
      </c>
      <c r="L20" s="3049" t="s">
        <v>3425</v>
      </c>
      <c r="M20" s="3049" t="s">
        <v>3426</v>
      </c>
      <c r="N20" s="3049" t="s">
        <v>3429</v>
      </c>
      <c r="O20" s="3049">
        <v>6100</v>
      </c>
      <c r="P20" s="3049">
        <v>388.57</v>
      </c>
      <c r="Q20" s="3049">
        <v>1457.13</v>
      </c>
      <c r="R20" s="3049">
        <v>0</v>
      </c>
      <c r="S20" s="3049" t="s">
        <v>3369</v>
      </c>
      <c r="T20" s="1635" t="s">
        <v>3352</v>
      </c>
    </row>
    <row r="21" spans="1:20" s="1635" customFormat="1" ht="26.25" customHeight="1">
      <c r="A21" s="3049" t="s">
        <v>3423</v>
      </c>
      <c r="B21" s="3049" t="s">
        <v>3344</v>
      </c>
      <c r="C21" s="3049" t="s">
        <v>3345</v>
      </c>
      <c r="D21" s="3049" t="s">
        <v>1327</v>
      </c>
      <c r="E21" s="3049" t="s">
        <v>3423</v>
      </c>
      <c r="F21" s="3049" t="s">
        <v>3346</v>
      </c>
      <c r="G21" s="3049" t="s">
        <v>3430</v>
      </c>
      <c r="H21" s="3049" t="s">
        <v>3345</v>
      </c>
      <c r="I21" s="3049">
        <v>8871.49</v>
      </c>
      <c r="J21" s="3049">
        <v>35485</v>
      </c>
      <c r="K21" s="3049" t="s">
        <v>1327</v>
      </c>
      <c r="L21" s="3049" t="s">
        <v>3425</v>
      </c>
      <c r="M21" s="3049" t="s">
        <v>3426</v>
      </c>
      <c r="N21" s="3049" t="s">
        <v>3429</v>
      </c>
      <c r="O21" s="3049">
        <v>5300</v>
      </c>
      <c r="P21" s="3049">
        <v>398.28</v>
      </c>
      <c r="Q21" s="3049">
        <v>1493.58</v>
      </c>
      <c r="R21" s="3049">
        <v>0</v>
      </c>
      <c r="S21" s="3049" t="s">
        <v>3369</v>
      </c>
      <c r="T21" s="1635" t="s">
        <v>3352</v>
      </c>
    </row>
    <row r="22" spans="1:20" s="1635" customFormat="1" ht="26.25" customHeight="1">
      <c r="A22" s="3049" t="s">
        <v>3431</v>
      </c>
      <c r="B22" s="3049" t="s">
        <v>3344</v>
      </c>
      <c r="C22" s="3049" t="s">
        <v>3345</v>
      </c>
      <c r="D22" s="3049" t="s">
        <v>1327</v>
      </c>
      <c r="E22" s="3049" t="s">
        <v>3431</v>
      </c>
      <c r="F22" s="3049" t="s">
        <v>3346</v>
      </c>
      <c r="G22" s="3049" t="s">
        <v>3432</v>
      </c>
      <c r="H22" s="3049" t="s">
        <v>3345</v>
      </c>
      <c r="I22" s="3049">
        <v>6672.09</v>
      </c>
      <c r="J22" s="3049">
        <v>26680</v>
      </c>
      <c r="K22" s="3049">
        <v>4</v>
      </c>
      <c r="L22" s="3049" t="s">
        <v>3433</v>
      </c>
      <c r="M22" s="3049" t="s">
        <v>3434</v>
      </c>
      <c r="N22" s="3049" t="s">
        <v>3435</v>
      </c>
      <c r="O22" s="3049">
        <v>4250</v>
      </c>
      <c r="P22" s="3049">
        <v>424.65</v>
      </c>
      <c r="Q22" s="3049">
        <v>1592.95</v>
      </c>
      <c r="R22" s="3049">
        <v>29.02</v>
      </c>
      <c r="S22" s="3049" t="s">
        <v>3369</v>
      </c>
      <c r="T22" s="1635" t="s">
        <v>3352</v>
      </c>
    </row>
    <row r="23" spans="1:20" s="1635" customFormat="1" ht="26.25" customHeight="1">
      <c r="A23" s="3049" t="s">
        <v>3405</v>
      </c>
      <c r="B23" s="3049" t="s">
        <v>3344</v>
      </c>
      <c r="C23" s="3049" t="s">
        <v>3345</v>
      </c>
      <c r="D23" s="3049" t="s">
        <v>1327</v>
      </c>
      <c r="E23" s="3049" t="s">
        <v>3405</v>
      </c>
      <c r="F23" s="3049" t="s">
        <v>3346</v>
      </c>
      <c r="G23" s="3049" t="s">
        <v>3436</v>
      </c>
      <c r="H23" s="3049" t="s">
        <v>3359</v>
      </c>
      <c r="I23" s="3049">
        <v>16753.05</v>
      </c>
      <c r="J23" s="3049">
        <v>77063</v>
      </c>
      <c r="K23" s="3049">
        <v>4.5999999999999996</v>
      </c>
      <c r="L23" s="3049" t="s">
        <v>3433</v>
      </c>
      <c r="M23" s="3049" t="s">
        <v>3434</v>
      </c>
      <c r="N23" s="3049" t="s">
        <v>3437</v>
      </c>
      <c r="O23" s="3049">
        <v>34400</v>
      </c>
      <c r="P23" s="3049">
        <v>1368.9</v>
      </c>
      <c r="Q23" s="3049">
        <v>4463.88</v>
      </c>
      <c r="R23" s="3049">
        <v>0</v>
      </c>
      <c r="S23" s="3049" t="s">
        <v>3369</v>
      </c>
      <c r="T23" s="1635" t="s">
        <v>3352</v>
      </c>
    </row>
    <row r="24" spans="1:20" s="1635" customFormat="1" ht="26.25" customHeight="1">
      <c r="A24" s="3049" t="s">
        <v>3405</v>
      </c>
      <c r="B24" s="3049" t="s">
        <v>3344</v>
      </c>
      <c r="C24" s="3049" t="s">
        <v>3345</v>
      </c>
      <c r="D24" s="3049" t="s">
        <v>1327</v>
      </c>
      <c r="E24" s="3049" t="s">
        <v>3405</v>
      </c>
      <c r="F24" s="3049" t="s">
        <v>3346</v>
      </c>
      <c r="G24" s="3049" t="s">
        <v>3438</v>
      </c>
      <c r="H24" s="3049" t="s">
        <v>3439</v>
      </c>
      <c r="I24" s="3049">
        <v>7234.47</v>
      </c>
      <c r="J24" s="3049">
        <v>33276</v>
      </c>
      <c r="K24" s="3049">
        <v>4.5999999999999996</v>
      </c>
      <c r="L24" s="3049" t="s">
        <v>3433</v>
      </c>
      <c r="M24" s="3049" t="s">
        <v>3434</v>
      </c>
      <c r="N24" s="3049" t="s">
        <v>3440</v>
      </c>
      <c r="O24" s="3049">
        <v>21800</v>
      </c>
      <c r="P24" s="3049">
        <v>2008.9</v>
      </c>
      <c r="Q24" s="3049">
        <v>6551.27</v>
      </c>
      <c r="R24" s="3049">
        <v>86.32</v>
      </c>
      <c r="S24" s="3049" t="s">
        <v>3369</v>
      </c>
      <c r="T24" s="1635" t="s">
        <v>3352</v>
      </c>
    </row>
    <row r="25" spans="1:20" s="1635" customFormat="1" ht="26.25" customHeight="1">
      <c r="A25" s="3049" t="s">
        <v>3405</v>
      </c>
      <c r="B25" s="3049" t="s">
        <v>3344</v>
      </c>
      <c r="C25" s="3049" t="s">
        <v>3345</v>
      </c>
      <c r="D25" s="3049" t="s">
        <v>1327</v>
      </c>
      <c r="E25" s="3049" t="s">
        <v>3405</v>
      </c>
      <c r="F25" s="3049" t="s">
        <v>3346</v>
      </c>
      <c r="G25" s="3049" t="s">
        <v>3441</v>
      </c>
      <c r="H25" s="3049" t="s">
        <v>3359</v>
      </c>
      <c r="I25" s="3049">
        <v>7251.42</v>
      </c>
      <c r="J25" s="3049">
        <v>33354</v>
      </c>
      <c r="K25" s="3049">
        <v>4.5999999999999996</v>
      </c>
      <c r="L25" s="3049" t="s">
        <v>3433</v>
      </c>
      <c r="M25" s="3049" t="s">
        <v>3434</v>
      </c>
      <c r="N25" s="3049" t="s">
        <v>3442</v>
      </c>
      <c r="O25" s="3049">
        <v>25800</v>
      </c>
      <c r="P25" s="3049">
        <v>2371.9499999999998</v>
      </c>
      <c r="Q25" s="3049">
        <v>7735.19</v>
      </c>
      <c r="R25" s="3049">
        <v>193.18</v>
      </c>
      <c r="S25" s="3049" t="s">
        <v>3369</v>
      </c>
      <c r="T25" s="1635" t="s">
        <v>3352</v>
      </c>
    </row>
    <row r="26" spans="1:20" s="1635" customFormat="1" ht="26.25" customHeight="1">
      <c r="A26" s="3049" t="s">
        <v>3443</v>
      </c>
      <c r="B26" s="3049" t="s">
        <v>3344</v>
      </c>
      <c r="C26" s="3049" t="s">
        <v>3345</v>
      </c>
      <c r="D26" s="3049" t="s">
        <v>1327</v>
      </c>
      <c r="E26" s="3049" t="s">
        <v>3443</v>
      </c>
      <c r="F26" s="3049" t="s">
        <v>3346</v>
      </c>
      <c r="G26" s="3049" t="s">
        <v>3444</v>
      </c>
      <c r="H26" s="3049" t="s">
        <v>3345</v>
      </c>
      <c r="I26" s="3049">
        <v>10005.92</v>
      </c>
      <c r="J26" s="3049">
        <v>40000</v>
      </c>
      <c r="K26" s="3049">
        <v>4</v>
      </c>
      <c r="L26" s="3049" t="s">
        <v>3445</v>
      </c>
      <c r="M26" s="3049" t="s">
        <v>3446</v>
      </c>
      <c r="N26" s="3049" t="s">
        <v>3447</v>
      </c>
      <c r="O26" s="3049">
        <v>8811</v>
      </c>
      <c r="P26" s="3049">
        <v>587.04999999999995</v>
      </c>
      <c r="Q26" s="3049">
        <v>2202.75</v>
      </c>
      <c r="R26" s="3049">
        <v>0</v>
      </c>
      <c r="S26" s="3049" t="s">
        <v>3369</v>
      </c>
      <c r="T26" s="1635" t="s">
        <v>3352</v>
      </c>
    </row>
    <row r="27" spans="1:20" s="1635" customFormat="1" ht="26.25" customHeight="1">
      <c r="A27" s="3049" t="s">
        <v>3448</v>
      </c>
      <c r="B27" s="3049" t="s">
        <v>3344</v>
      </c>
      <c r="C27" s="3049" t="s">
        <v>3345</v>
      </c>
      <c r="D27" s="3049" t="s">
        <v>1327</v>
      </c>
      <c r="E27" s="3049" t="s">
        <v>3448</v>
      </c>
      <c r="F27" s="3049" t="s">
        <v>3346</v>
      </c>
      <c r="G27" s="3049" t="s">
        <v>3449</v>
      </c>
      <c r="H27" s="3049" t="s">
        <v>3345</v>
      </c>
      <c r="I27" s="3049">
        <v>10001.709999999999</v>
      </c>
      <c r="J27" s="3049">
        <v>40000</v>
      </c>
      <c r="K27" s="3049">
        <v>4</v>
      </c>
      <c r="L27" s="3049" t="s">
        <v>3445</v>
      </c>
      <c r="M27" s="3049" t="s">
        <v>3446</v>
      </c>
      <c r="N27" s="3049" t="s">
        <v>3450</v>
      </c>
      <c r="O27" s="3049">
        <v>2925</v>
      </c>
      <c r="P27" s="3049">
        <v>194.97</v>
      </c>
      <c r="Q27" s="3049">
        <v>731.25</v>
      </c>
      <c r="R27" s="3049">
        <v>0</v>
      </c>
      <c r="S27" s="3049" t="s">
        <v>3369</v>
      </c>
      <c r="T27" s="1635" t="s">
        <v>3352</v>
      </c>
    </row>
    <row r="28" spans="1:20" s="1635" customFormat="1" ht="26.25" customHeight="1">
      <c r="A28" s="3049" t="s">
        <v>3448</v>
      </c>
      <c r="B28" s="3049" t="s">
        <v>3344</v>
      </c>
      <c r="C28" s="3049" t="s">
        <v>3345</v>
      </c>
      <c r="D28" s="3049" t="s">
        <v>1327</v>
      </c>
      <c r="E28" s="3049" t="s">
        <v>3448</v>
      </c>
      <c r="F28" s="3049" t="s">
        <v>3346</v>
      </c>
      <c r="G28" s="3049" t="s">
        <v>3451</v>
      </c>
      <c r="H28" s="3049" t="s">
        <v>3345</v>
      </c>
      <c r="I28" s="3049">
        <v>5295.08</v>
      </c>
      <c r="J28" s="3049">
        <v>21170</v>
      </c>
      <c r="K28" s="3049">
        <v>4</v>
      </c>
      <c r="L28" s="3049" t="s">
        <v>3445</v>
      </c>
      <c r="M28" s="3049" t="s">
        <v>3446</v>
      </c>
      <c r="N28" s="3049" t="s">
        <v>3452</v>
      </c>
      <c r="O28" s="3049">
        <v>1551</v>
      </c>
      <c r="P28" s="3049">
        <v>195.28</v>
      </c>
      <c r="Q28" s="3049">
        <v>732.63</v>
      </c>
      <c r="R28" s="3049">
        <v>0</v>
      </c>
      <c r="S28" s="3049" t="s">
        <v>3369</v>
      </c>
      <c r="T28" s="1635" t="s">
        <v>3352</v>
      </c>
    </row>
    <row r="29" spans="1:20" s="1635" customFormat="1" ht="26.25" customHeight="1">
      <c r="A29" s="3049" t="s">
        <v>3453</v>
      </c>
      <c r="B29" s="3049" t="s">
        <v>3344</v>
      </c>
      <c r="C29" s="3049" t="s">
        <v>3345</v>
      </c>
      <c r="D29" s="3049" t="s">
        <v>1327</v>
      </c>
      <c r="E29" s="3049" t="s">
        <v>3453</v>
      </c>
      <c r="F29" s="3049" t="s">
        <v>3346</v>
      </c>
      <c r="G29" s="3049" t="s">
        <v>3454</v>
      </c>
      <c r="H29" s="3049" t="s">
        <v>3455</v>
      </c>
      <c r="I29" s="3049">
        <v>57867.34</v>
      </c>
      <c r="J29" s="3049">
        <v>198659</v>
      </c>
      <c r="K29" s="3049" t="s">
        <v>1327</v>
      </c>
      <c r="L29" s="3049" t="s">
        <v>3456</v>
      </c>
      <c r="M29" s="3049" t="s">
        <v>3457</v>
      </c>
      <c r="N29" s="3049" t="s">
        <v>3458</v>
      </c>
      <c r="O29" s="3049">
        <v>28700</v>
      </c>
      <c r="P29" s="3049">
        <v>330.64</v>
      </c>
      <c r="Q29" s="3049">
        <v>1444.69</v>
      </c>
      <c r="R29" s="3049">
        <v>0</v>
      </c>
      <c r="S29" s="3049" t="s">
        <v>3369</v>
      </c>
      <c r="T29" s="1635" t="s">
        <v>3352</v>
      </c>
    </row>
    <row r="30" spans="1:20" s="1635" customFormat="1" ht="26.25" customHeight="1">
      <c r="A30" s="3049" t="s">
        <v>3398</v>
      </c>
      <c r="B30" s="3049" t="s">
        <v>3344</v>
      </c>
      <c r="C30" s="3049" t="s">
        <v>3345</v>
      </c>
      <c r="D30" s="3049" t="s">
        <v>1327</v>
      </c>
      <c r="E30" s="3049" t="s">
        <v>3398</v>
      </c>
      <c r="F30" s="3049" t="s">
        <v>3346</v>
      </c>
      <c r="G30" s="3049" t="s">
        <v>3459</v>
      </c>
      <c r="H30" s="3049" t="s">
        <v>3359</v>
      </c>
      <c r="I30" s="3049">
        <v>11037.76</v>
      </c>
      <c r="J30" s="3049">
        <v>44150</v>
      </c>
      <c r="K30" s="3049">
        <v>4</v>
      </c>
      <c r="L30" s="3049" t="s">
        <v>3460</v>
      </c>
      <c r="M30" s="3049" t="s">
        <v>3461</v>
      </c>
      <c r="N30" s="3049" t="s">
        <v>3462</v>
      </c>
      <c r="O30" s="3049">
        <v>6700</v>
      </c>
      <c r="P30" s="3049">
        <v>404.67</v>
      </c>
      <c r="Q30" s="3049">
        <v>1517.54</v>
      </c>
      <c r="R30" s="3049">
        <v>0</v>
      </c>
      <c r="S30" s="3049" t="s">
        <v>3369</v>
      </c>
      <c r="T30" s="1635" t="s">
        <v>3386</v>
      </c>
    </row>
    <row r="31" spans="1:20" s="1635" customFormat="1" ht="26.25" customHeight="1">
      <c r="A31" s="3049" t="s">
        <v>3463</v>
      </c>
      <c r="B31" s="3049" t="s">
        <v>3344</v>
      </c>
      <c r="C31" s="3049" t="s">
        <v>3345</v>
      </c>
      <c r="D31" s="3049" t="s">
        <v>1327</v>
      </c>
      <c r="E31" s="3049" t="s">
        <v>3463</v>
      </c>
      <c r="F31" s="3049" t="s">
        <v>3346</v>
      </c>
      <c r="G31" s="3049" t="s">
        <v>3464</v>
      </c>
      <c r="H31" s="3049" t="s">
        <v>3345</v>
      </c>
      <c r="I31" s="3049">
        <v>24604.74</v>
      </c>
      <c r="J31" s="3049">
        <v>101600</v>
      </c>
      <c r="K31" s="3049">
        <v>4.2</v>
      </c>
      <c r="L31" s="3049" t="s">
        <v>3465</v>
      </c>
      <c r="M31" s="3049" t="s">
        <v>3466</v>
      </c>
      <c r="N31" s="3049" t="s">
        <v>3467</v>
      </c>
      <c r="O31" s="3049">
        <v>15100</v>
      </c>
      <c r="P31" s="3049">
        <v>409.14</v>
      </c>
      <c r="Q31" s="3049">
        <v>1486.22</v>
      </c>
      <c r="R31" s="3049">
        <v>0</v>
      </c>
      <c r="S31" s="3049" t="s">
        <v>3369</v>
      </c>
      <c r="T31" s="1635" t="s">
        <v>3352</v>
      </c>
    </row>
    <row r="32" spans="1:20" s="1635" customFormat="1" ht="26.25" customHeight="1">
      <c r="A32" s="3049" t="s">
        <v>3463</v>
      </c>
      <c r="B32" s="3049" t="s">
        <v>3344</v>
      </c>
      <c r="C32" s="3049" t="s">
        <v>3345</v>
      </c>
      <c r="D32" s="3049" t="s">
        <v>1327</v>
      </c>
      <c r="E32" s="3049" t="s">
        <v>3463</v>
      </c>
      <c r="F32" s="3049" t="s">
        <v>3346</v>
      </c>
      <c r="G32" s="3049" t="s">
        <v>3468</v>
      </c>
      <c r="H32" s="3049" t="s">
        <v>3345</v>
      </c>
      <c r="I32" s="3049">
        <v>33075.46</v>
      </c>
      <c r="J32" s="3049">
        <v>198400</v>
      </c>
      <c r="K32" s="3049">
        <v>6</v>
      </c>
      <c r="L32" s="3049" t="s">
        <v>3465</v>
      </c>
      <c r="M32" s="3049" t="s">
        <v>3466</v>
      </c>
      <c r="N32" s="3049" t="s">
        <v>3467</v>
      </c>
      <c r="O32" s="3049">
        <v>30500</v>
      </c>
      <c r="P32" s="3049">
        <v>614.76</v>
      </c>
      <c r="Q32" s="3049">
        <v>1537.29</v>
      </c>
      <c r="R32" s="3049">
        <v>0</v>
      </c>
      <c r="S32" s="3049" t="s">
        <v>3369</v>
      </c>
      <c r="T32" s="1635" t="s">
        <v>3352</v>
      </c>
    </row>
    <row r="33" spans="1:20" s="1635" customFormat="1" ht="26.25" customHeight="1">
      <c r="A33" s="3049"/>
      <c r="B33" s="3049"/>
      <c r="C33" s="3049"/>
      <c r="D33" s="3049"/>
      <c r="E33" s="3049"/>
      <c r="F33" s="3049"/>
      <c r="G33" s="3049"/>
      <c r="H33" s="3049"/>
      <c r="I33" s="3049"/>
      <c r="J33" s="3049"/>
      <c r="K33" s="3049"/>
      <c r="L33" s="3049"/>
      <c r="M33" s="3049"/>
      <c r="N33" s="3049"/>
      <c r="O33" s="3049"/>
      <c r="P33" s="3049"/>
      <c r="Q33" s="3049"/>
      <c r="R33" s="3049"/>
      <c r="S33" s="3049"/>
    </row>
    <row r="34" spans="1:20" s="3048" customFormat="1" ht="30.75" customHeight="1">
      <c r="A34" s="3052"/>
      <c r="B34" s="3052"/>
      <c r="C34" s="3052"/>
      <c r="D34" s="3052"/>
      <c r="E34" s="3052"/>
      <c r="F34" s="3052"/>
      <c r="G34" s="3052"/>
      <c r="H34" s="3052"/>
      <c r="I34" s="3052"/>
      <c r="J34" s="3052"/>
      <c r="K34" s="3052"/>
      <c r="L34" s="3052"/>
      <c r="M34" s="3052"/>
      <c r="N34" s="3052"/>
      <c r="O34" s="3052"/>
      <c r="P34" s="3052"/>
      <c r="Q34" s="3052"/>
      <c r="R34" s="3052"/>
      <c r="S34" s="3052"/>
      <c r="T34" s="3053"/>
    </row>
    <row r="35" spans="1:20" s="3048" customFormat="1" ht="30.75" customHeight="1">
      <c r="A35" s="3052" t="s">
        <v>3469</v>
      </c>
      <c r="B35" s="3052" t="s">
        <v>3344</v>
      </c>
      <c r="C35" s="3052" t="s">
        <v>3345</v>
      </c>
      <c r="D35" s="3052" t="s">
        <v>1327</v>
      </c>
      <c r="E35" s="3052" t="s">
        <v>3469</v>
      </c>
      <c r="F35" s="3052" t="s">
        <v>3346</v>
      </c>
      <c r="G35" s="3052" t="s">
        <v>3470</v>
      </c>
      <c r="H35" s="3052" t="s">
        <v>3345</v>
      </c>
      <c r="I35" s="3052">
        <v>22000.85</v>
      </c>
      <c r="J35" s="3052">
        <v>88000</v>
      </c>
      <c r="K35" s="3052" t="s">
        <v>1327</v>
      </c>
      <c r="L35" s="3052" t="s">
        <v>3471</v>
      </c>
      <c r="M35" s="3052" t="s">
        <v>3472</v>
      </c>
      <c r="N35" s="3052" t="s">
        <v>3473</v>
      </c>
      <c r="O35" s="3052">
        <v>9210</v>
      </c>
      <c r="P35" s="3052">
        <v>279.08</v>
      </c>
      <c r="Q35" s="3052">
        <v>1046.58</v>
      </c>
      <c r="R35" s="3052">
        <v>0</v>
      </c>
      <c r="S35" s="3052" t="s">
        <v>3369</v>
      </c>
      <c r="T35" s="3053" t="s">
        <v>3352</v>
      </c>
    </row>
    <row r="36" spans="1:20" s="3048" customFormat="1" ht="30.75" customHeight="1">
      <c r="A36" s="3052" t="s">
        <v>3469</v>
      </c>
      <c r="B36" s="3052" t="s">
        <v>3344</v>
      </c>
      <c r="C36" s="3052" t="s">
        <v>3345</v>
      </c>
      <c r="D36" s="3052" t="s">
        <v>1327</v>
      </c>
      <c r="E36" s="3052" t="s">
        <v>3469</v>
      </c>
      <c r="F36" s="3052" t="s">
        <v>3346</v>
      </c>
      <c r="G36" s="3052" t="s">
        <v>3474</v>
      </c>
      <c r="H36" s="3052" t="s">
        <v>3345</v>
      </c>
      <c r="I36" s="3052">
        <v>18791.439999999999</v>
      </c>
      <c r="J36" s="3052">
        <v>75170</v>
      </c>
      <c r="K36" s="3052" t="s">
        <v>1327</v>
      </c>
      <c r="L36" s="3052" t="s">
        <v>3471</v>
      </c>
      <c r="M36" s="3052" t="s">
        <v>3472</v>
      </c>
      <c r="N36" s="3052" t="s">
        <v>3475</v>
      </c>
      <c r="O36" s="3052">
        <v>5343</v>
      </c>
      <c r="P36" s="3052">
        <v>189.55</v>
      </c>
      <c r="Q36" s="3052">
        <v>710.78</v>
      </c>
      <c r="R36" s="3052">
        <v>0</v>
      </c>
      <c r="S36" s="3052" t="s">
        <v>3369</v>
      </c>
      <c r="T36" s="3053" t="s">
        <v>3352</v>
      </c>
    </row>
    <row r="37" spans="1:20" s="3048" customFormat="1" ht="30.75" customHeight="1">
      <c r="A37" s="3052" t="s">
        <v>3476</v>
      </c>
      <c r="B37" s="3052" t="s">
        <v>3344</v>
      </c>
      <c r="C37" s="3052" t="s">
        <v>3345</v>
      </c>
      <c r="D37" s="3052" t="s">
        <v>1327</v>
      </c>
      <c r="E37" s="3052" t="s">
        <v>3476</v>
      </c>
      <c r="F37" s="3052" t="s">
        <v>3346</v>
      </c>
      <c r="G37" s="3052" t="s">
        <v>3477</v>
      </c>
      <c r="H37" s="3052" t="s">
        <v>3359</v>
      </c>
      <c r="I37" s="3052">
        <v>10030.66</v>
      </c>
      <c r="J37" s="3052">
        <v>45130</v>
      </c>
      <c r="K37" s="3052" t="s">
        <v>1327</v>
      </c>
      <c r="L37" s="3052" t="s">
        <v>3478</v>
      </c>
      <c r="M37" s="3052" t="s">
        <v>3479</v>
      </c>
      <c r="N37" s="3052" t="s">
        <v>3480</v>
      </c>
      <c r="O37" s="3052">
        <v>22400</v>
      </c>
      <c r="P37" s="3052">
        <v>1488.77</v>
      </c>
      <c r="Q37" s="3052">
        <v>4963.43</v>
      </c>
      <c r="R37" s="3052">
        <v>0</v>
      </c>
      <c r="S37" s="3052" t="s">
        <v>3369</v>
      </c>
      <c r="T37" s="3053" t="s">
        <v>3352</v>
      </c>
    </row>
    <row r="38" spans="1:20" s="3048" customFormat="1" ht="30.75" customHeight="1">
      <c r="A38" s="3052" t="s">
        <v>3481</v>
      </c>
      <c r="B38" s="3052" t="s">
        <v>3344</v>
      </c>
      <c r="C38" s="3052" t="s">
        <v>3345</v>
      </c>
      <c r="D38" s="3052" t="s">
        <v>1327</v>
      </c>
      <c r="E38" s="3052" t="s">
        <v>3481</v>
      </c>
      <c r="F38" s="3052" t="s">
        <v>3346</v>
      </c>
      <c r="G38" s="3052" t="s">
        <v>3482</v>
      </c>
      <c r="H38" s="3052" t="s">
        <v>3375</v>
      </c>
      <c r="I38" s="3052">
        <v>39503.22</v>
      </c>
      <c r="J38" s="3052">
        <v>51620</v>
      </c>
      <c r="K38" s="3052" t="s">
        <v>1327</v>
      </c>
      <c r="L38" s="3052" t="s">
        <v>3478</v>
      </c>
      <c r="M38" s="3052" t="s">
        <v>3479</v>
      </c>
      <c r="N38" s="3052" t="s">
        <v>3483</v>
      </c>
      <c r="O38" s="3052">
        <v>5493</v>
      </c>
      <c r="P38" s="3052">
        <v>92.7</v>
      </c>
      <c r="Q38" s="3052">
        <v>1064.1099999999999</v>
      </c>
      <c r="R38" s="3052">
        <v>0</v>
      </c>
      <c r="S38" s="3052" t="s">
        <v>3369</v>
      </c>
      <c r="T38" s="3053" t="s">
        <v>3352</v>
      </c>
    </row>
    <row r="39" spans="1:20" s="3048" customFormat="1" ht="30.75" customHeight="1">
      <c r="A39" s="3052" t="s">
        <v>3484</v>
      </c>
      <c r="B39" s="3052" t="s">
        <v>3344</v>
      </c>
      <c r="C39" s="3052" t="s">
        <v>3345</v>
      </c>
      <c r="D39" s="3052" t="s">
        <v>1327</v>
      </c>
      <c r="E39" s="3052" t="s">
        <v>3484</v>
      </c>
      <c r="F39" s="3052" t="s">
        <v>3346</v>
      </c>
      <c r="G39" s="3052" t="s">
        <v>3485</v>
      </c>
      <c r="H39" s="3052" t="s">
        <v>3439</v>
      </c>
      <c r="I39" s="3052">
        <v>5810.68</v>
      </c>
      <c r="J39" s="3052">
        <v>34860</v>
      </c>
      <c r="K39" s="3052" t="s">
        <v>3486</v>
      </c>
      <c r="L39" s="3052" t="s">
        <v>3487</v>
      </c>
      <c r="M39" s="3052" t="s">
        <v>3488</v>
      </c>
      <c r="N39" s="3052" t="s">
        <v>3489</v>
      </c>
      <c r="O39" s="3052">
        <v>7320</v>
      </c>
      <c r="P39" s="3052">
        <v>839.83</v>
      </c>
      <c r="Q39" s="3052">
        <v>2099.8200000000002</v>
      </c>
      <c r="R39" s="3052">
        <v>0</v>
      </c>
      <c r="S39" s="3052" t="s">
        <v>3369</v>
      </c>
      <c r="T39" s="3053" t="s">
        <v>3352</v>
      </c>
    </row>
    <row r="40" spans="1:20" s="3056" customFormat="1" ht="30.75" customHeight="1">
      <c r="A40" s="3054" t="s">
        <v>3490</v>
      </c>
      <c r="B40" s="3054" t="s">
        <v>3344</v>
      </c>
      <c r="C40" s="3054" t="s">
        <v>3345</v>
      </c>
      <c r="D40" s="3054" t="s">
        <v>1327</v>
      </c>
      <c r="E40" s="3054" t="s">
        <v>3490</v>
      </c>
      <c r="F40" s="3054" t="s">
        <v>3346</v>
      </c>
      <c r="G40" s="3054" t="s">
        <v>3491</v>
      </c>
      <c r="H40" s="3054" t="s">
        <v>3345</v>
      </c>
      <c r="I40" s="3054">
        <v>29787.37</v>
      </c>
      <c r="J40" s="3054">
        <v>89360</v>
      </c>
      <c r="K40" s="3054">
        <v>3</v>
      </c>
      <c r="L40" s="3054" t="s">
        <v>3492</v>
      </c>
      <c r="M40" s="3054" t="s">
        <v>3493</v>
      </c>
      <c r="N40" s="3054" t="s">
        <v>3494</v>
      </c>
      <c r="O40" s="3054">
        <v>26600</v>
      </c>
      <c r="P40" s="3054">
        <v>595.33000000000004</v>
      </c>
      <c r="Q40" s="3054">
        <v>2976.71</v>
      </c>
      <c r="R40" s="3054">
        <v>0</v>
      </c>
      <c r="S40" s="3054" t="s">
        <v>3369</v>
      </c>
      <c r="T40" s="3055" t="s">
        <v>3352</v>
      </c>
    </row>
    <row r="41" spans="1:20" s="1635" customFormat="1" ht="26.25" customHeight="1">
      <c r="A41" s="3049"/>
      <c r="B41" s="3049"/>
      <c r="C41" s="3049"/>
      <c r="D41" s="3049"/>
      <c r="E41" s="3049"/>
      <c r="F41" s="3049"/>
      <c r="G41" s="3049"/>
      <c r="H41" s="3049"/>
      <c r="I41" s="3049"/>
      <c r="J41" s="3049"/>
      <c r="K41" s="3049"/>
      <c r="L41" s="3049"/>
      <c r="M41" s="3049"/>
      <c r="N41" s="3049"/>
      <c r="O41" s="3049"/>
      <c r="P41" s="3049"/>
      <c r="Q41" s="3049"/>
      <c r="R41" s="3049"/>
      <c r="S41" s="3049"/>
    </row>
    <row r="42" spans="1:20" s="1635" customFormat="1" ht="26.25" customHeight="1">
      <c r="A42" s="3049"/>
      <c r="B42" s="3049"/>
      <c r="C42" s="3049"/>
      <c r="D42" s="3049"/>
      <c r="E42" s="3049"/>
      <c r="F42" s="3049"/>
      <c r="G42" s="3049"/>
      <c r="H42" s="3049"/>
      <c r="I42" s="3049"/>
      <c r="J42" s="3049"/>
      <c r="K42" s="3049"/>
      <c r="L42" s="3049"/>
      <c r="M42" s="3049"/>
      <c r="N42" s="3049"/>
      <c r="O42" s="3049"/>
      <c r="P42" s="3049"/>
      <c r="Q42" s="3049"/>
      <c r="R42" s="3049"/>
      <c r="S42" s="3049"/>
    </row>
    <row r="43" spans="1:20" s="3058" customFormat="1" ht="25.5">
      <c r="A43" s="3054" t="s">
        <v>3495</v>
      </c>
      <c r="B43" s="3054" t="s">
        <v>3344</v>
      </c>
      <c r="C43" s="3054" t="s">
        <v>3345</v>
      </c>
      <c r="D43" s="3054" t="s">
        <v>1327</v>
      </c>
      <c r="E43" s="3054" t="s">
        <v>3495</v>
      </c>
      <c r="F43" s="3054" t="s">
        <v>3346</v>
      </c>
      <c r="G43" s="3054" t="s">
        <v>3499</v>
      </c>
      <c r="H43" s="3054" t="s">
        <v>3359</v>
      </c>
      <c r="I43" s="3054">
        <v>13538.17</v>
      </c>
      <c r="J43" s="3054">
        <v>33845</v>
      </c>
      <c r="K43" s="3054" t="s">
        <v>3496</v>
      </c>
      <c r="L43" s="3054" t="s">
        <v>3497</v>
      </c>
      <c r="M43" s="3054" t="s">
        <v>3500</v>
      </c>
      <c r="N43" s="3054" t="s">
        <v>3498</v>
      </c>
      <c r="O43" s="3054">
        <v>10870</v>
      </c>
      <c r="P43" s="3054">
        <v>535.28</v>
      </c>
      <c r="Q43" s="3054">
        <v>3211.69</v>
      </c>
      <c r="R43" s="3054">
        <v>0</v>
      </c>
      <c r="S43" s="3054" t="s">
        <v>3369</v>
      </c>
      <c r="T43" s="3057" t="s">
        <v>3352</v>
      </c>
    </row>
  </sheetData>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5"/>
  <sheetViews>
    <sheetView topLeftCell="A19" workbookViewId="0">
      <selection activeCell="W126" sqref="W126"/>
    </sheetView>
  </sheetViews>
  <sheetFormatPr defaultRowHeight="13.5"/>
  <sheetData>
    <row r="1" spans="1:3">
      <c r="A1" s="3390" t="s">
        <v>3305</v>
      </c>
      <c r="B1" s="3391"/>
      <c r="C1" s="3392"/>
    </row>
    <row r="2" spans="1:3">
      <c r="A2" s="2982" t="s">
        <v>3306</v>
      </c>
      <c r="B2" s="2983" t="s">
        <v>3307</v>
      </c>
      <c r="C2" s="2984" t="s">
        <v>3308</v>
      </c>
    </row>
    <row r="3" spans="1:3">
      <c r="A3" s="2985">
        <v>2015.4</v>
      </c>
      <c r="B3" s="2986">
        <v>3475</v>
      </c>
      <c r="C3" s="2987">
        <v>2.48</v>
      </c>
    </row>
    <row r="4" spans="1:3">
      <c r="A4" s="2985">
        <v>2016.1</v>
      </c>
      <c r="B4" s="2986">
        <v>3541</v>
      </c>
      <c r="C4" s="2987">
        <v>1.9</v>
      </c>
    </row>
    <row r="5" spans="1:3">
      <c r="A5" s="2985">
        <v>2016.2</v>
      </c>
      <c r="B5" s="2986">
        <v>3631</v>
      </c>
      <c r="C5" s="2987">
        <v>2.54</v>
      </c>
    </row>
    <row r="6" spans="1:3">
      <c r="A6" s="2985">
        <v>2016.3</v>
      </c>
      <c r="B6" s="2986">
        <v>3678</v>
      </c>
      <c r="C6" s="2987">
        <v>1.29</v>
      </c>
    </row>
    <row r="7" spans="1:3">
      <c r="A7" s="2985">
        <v>2016.4</v>
      </c>
      <c r="B7" s="2986">
        <v>3742</v>
      </c>
      <c r="C7" s="2987">
        <v>1.74</v>
      </c>
    </row>
    <row r="8" spans="1:3">
      <c r="A8" s="2985">
        <v>2017.1</v>
      </c>
      <c r="B8" s="2986">
        <v>3800</v>
      </c>
      <c r="C8" s="2987">
        <v>1.55</v>
      </c>
    </row>
    <row r="9" spans="1:3">
      <c r="A9" s="2985">
        <v>2017.2</v>
      </c>
      <c r="B9" s="2986">
        <v>3886</v>
      </c>
      <c r="C9" s="2987">
        <v>2.2599999999999998</v>
      </c>
    </row>
    <row r="10" spans="1:3">
      <c r="A10" s="2985">
        <v>2017.3</v>
      </c>
      <c r="B10" s="2986">
        <v>3966</v>
      </c>
      <c r="C10" s="2987">
        <v>2.06</v>
      </c>
    </row>
    <row r="11" spans="1:3">
      <c r="A11" s="2985">
        <v>2017.4</v>
      </c>
      <c r="B11" s="2986">
        <v>4047</v>
      </c>
      <c r="C11" s="2987">
        <v>2.04</v>
      </c>
    </row>
    <row r="12" spans="1:3">
      <c r="A12" s="2985">
        <v>2018.1</v>
      </c>
      <c r="B12" s="2986">
        <v>4119</v>
      </c>
      <c r="C12" s="2987">
        <v>1.78</v>
      </c>
    </row>
    <row r="13" spans="1:3">
      <c r="A13" s="2985">
        <v>2018.2</v>
      </c>
      <c r="B13" s="2986">
        <v>4169</v>
      </c>
      <c r="C13" s="2987">
        <v>1.21</v>
      </c>
    </row>
    <row r="14" spans="1:3">
      <c r="A14" s="2985">
        <v>2018.3</v>
      </c>
      <c r="B14" s="2986">
        <v>4260</v>
      </c>
      <c r="C14" s="2987">
        <v>2.1800000000000002</v>
      </c>
    </row>
    <row r="15" spans="1:3" ht="14.25" thickBot="1">
      <c r="A15" s="2988">
        <v>2018.4</v>
      </c>
      <c r="B15" s="2989">
        <v>4350</v>
      </c>
      <c r="C15" s="2990">
        <v>2.14</v>
      </c>
    </row>
  </sheetData>
  <mergeCells count="1">
    <mergeCell ref="A1:C1"/>
  </mergeCells>
  <phoneticPr fontId="143"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SheetLayoutView="90" workbookViewId="0">
      <selection activeCell="B6" sqref="B6:B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t="s">
        <v>3316</v>
      </c>
      <c r="D1" s="1820" t="s">
        <v>70</v>
      </c>
      <c r="E1" s="1821" t="s">
        <v>1383</v>
      </c>
      <c r="F1" s="1283">
        <f ca="1">J53</f>
        <v>22.76</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1511</v>
      </c>
      <c r="B2" s="1844">
        <f ca="1">C40+J29+L46</f>
        <v>68752</v>
      </c>
      <c r="C2" s="1845" t="s">
        <v>1512</v>
      </c>
      <c r="D2" s="1845"/>
      <c r="E2" s="1846"/>
      <c r="F2" s="1847"/>
      <c r="G2" s="1848"/>
      <c r="H2" s="1840"/>
      <c r="I2" s="1840"/>
      <c r="J2" s="1840"/>
      <c r="K2" s="1841"/>
      <c r="L2" s="1840"/>
      <c r="M2" s="1840"/>
    </row>
    <row r="3" spans="1:37" ht="18" customHeight="1" thickBot="1">
      <c r="A3" s="1849" t="s">
        <v>1513</v>
      </c>
      <c r="B3" s="1850">
        <f ca="1">IF(ISERROR(B2*10000/F43),0,ROUND(B2*10000/F43,0))</f>
        <v>3569</v>
      </c>
      <c r="C3" s="1845" t="s">
        <v>1514</v>
      </c>
      <c r="D3" s="1845"/>
      <c r="E3" s="1846"/>
      <c r="F3" s="1847"/>
      <c r="G3" s="1848"/>
      <c r="H3" s="744" t="s">
        <v>1584</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2">
        <f ca="1">C6+C10+C12</f>
        <v>5617</v>
      </c>
      <c r="D5" s="1822" t="s">
        <v>1398</v>
      </c>
      <c r="E5" s="1293"/>
      <c r="F5" s="1294"/>
      <c r="G5" s="1851"/>
      <c r="H5" s="344">
        <v>1</v>
      </c>
      <c r="I5" s="345" t="s">
        <v>1397</v>
      </c>
      <c r="J5" s="1292">
        <f ca="1">J6+J10+J12</f>
        <v>0</v>
      </c>
      <c r="K5" s="1822" t="s">
        <v>1398</v>
      </c>
      <c r="L5" s="1293"/>
      <c r="M5" s="1294"/>
    </row>
    <row r="6" spans="1:37" ht="18" customHeight="1">
      <c r="A6" s="1291" t="s">
        <v>1032</v>
      </c>
      <c r="B6" s="3395" t="s">
        <v>1399</v>
      </c>
      <c r="C6" s="1296">
        <f ca="1">ROUND(F6*F8*F7*(1-F9)/10000,0)</f>
        <v>5617</v>
      </c>
      <c r="D6" s="164" t="s">
        <v>3026</v>
      </c>
      <c r="E6" s="347" t="s">
        <v>1401</v>
      </c>
      <c r="F6" s="348">
        <f ca="1">INDIRECT("'数据-取费表'!u"&amp;$G$1)</f>
        <v>27</v>
      </c>
      <c r="G6" s="1851"/>
      <c r="H6" s="1291" t="s">
        <v>1032</v>
      </c>
      <c r="I6" s="3395" t="s">
        <v>1399</v>
      </c>
      <c r="J6" s="346">
        <f ca="1">ROUND(M6*M8*M7*(1-M9)/10000,0)</f>
        <v>0</v>
      </c>
      <c r="K6" s="164" t="s">
        <v>3025</v>
      </c>
      <c r="L6" s="347" t="s">
        <v>1401</v>
      </c>
      <c r="M6" s="348">
        <f ca="1">INDIRECT("'数据-取费表'!z"&amp;$G$1)</f>
        <v>0</v>
      </c>
    </row>
    <row r="7" spans="1:37" ht="18" customHeight="1">
      <c r="A7" s="1295"/>
      <c r="B7" s="3396"/>
      <c r="C7" s="1297"/>
      <c r="D7" s="352"/>
      <c r="E7" s="1298" t="s">
        <v>1402</v>
      </c>
      <c r="F7" s="348">
        <f ca="1">IF(INDIRECT("'数据-取费表'!ah"&amp;$G$1)="",INDIRECT("'数据-取费表'!k"&amp;$G$1),INDIRECT("'数据-取费表'!ah"&amp;$G$1))</f>
        <v>192636.23</v>
      </c>
      <c r="G7" s="1851"/>
      <c r="H7" s="349"/>
      <c r="I7" s="3396"/>
      <c r="J7" s="351"/>
      <c r="K7" s="352"/>
      <c r="L7" s="347" t="s">
        <v>1402</v>
      </c>
      <c r="M7" s="348">
        <f ca="1">F7</f>
        <v>192636.23</v>
      </c>
    </row>
    <row r="8" spans="1:37" ht="18" customHeight="1">
      <c r="A8" s="349"/>
      <c r="B8" s="3396"/>
      <c r="C8" s="351"/>
      <c r="D8" s="352"/>
      <c r="E8" s="347" t="s">
        <v>1403</v>
      </c>
      <c r="F8" s="348">
        <f ca="1">INDIRECT("'数据-取费表'!ai"&amp;$G$1)</f>
        <v>12</v>
      </c>
      <c r="G8" s="1851"/>
      <c r="H8" s="349"/>
      <c r="I8" s="3396"/>
      <c r="J8" s="351"/>
      <c r="K8" s="352"/>
      <c r="L8" s="347" t="s">
        <v>1403</v>
      </c>
      <c r="M8" s="348">
        <f ca="1">INDIRECT("'数据-取费表'!ai"&amp;$G$1)</f>
        <v>12</v>
      </c>
    </row>
    <row r="9" spans="1:37" ht="18" customHeight="1">
      <c r="A9" s="349"/>
      <c r="B9" s="3397"/>
      <c r="C9" s="351"/>
      <c r="D9" s="352"/>
      <c r="E9" s="347" t="s">
        <v>1404</v>
      </c>
      <c r="F9" s="357">
        <f ca="1">INDIRECT("'数据-取费表'!w"&amp;$G$1)</f>
        <v>0.1</v>
      </c>
      <c r="G9" s="1851"/>
      <c r="H9" s="349"/>
      <c r="I9" s="3397"/>
      <c r="J9" s="351"/>
      <c r="K9" s="352"/>
      <c r="L9" s="358" t="s">
        <v>1404</v>
      </c>
      <c r="M9" s="359">
        <f ca="1">INDIRECT("'数据-取费表'!ab"&amp;$G$1)</f>
        <v>0</v>
      </c>
    </row>
    <row r="10" spans="1:37" ht="18" customHeight="1">
      <c r="A10" s="1291" t="s">
        <v>1036</v>
      </c>
      <c r="B10" s="1823" t="s">
        <v>1405</v>
      </c>
      <c r="C10" s="361">
        <f ca="1">ROUND(IF(F10="押一",C6/12*F11,IF(F10="押二",C6/12*2*F11,IF(F10="押三",C6/12*3*F11,C11*F11))),0)</f>
        <v>0</v>
      </c>
      <c r="D10" s="1824" t="s">
        <v>3035</v>
      </c>
      <c r="E10" s="358" t="s">
        <v>1406</v>
      </c>
      <c r="F10" s="1366"/>
      <c r="G10" s="1851"/>
      <c r="H10" s="1291" t="s">
        <v>1036</v>
      </c>
      <c r="I10" s="1823" t="s">
        <v>1405</v>
      </c>
      <c r="J10" s="346">
        <f ca="1">ROUND(IF(M10="押一",J6/12*M11,IF(M10="押二",J6/12*2*M11,IF(M10="押三",J6/12*3*M11,J11*M11))),0)</f>
        <v>0</v>
      </c>
      <c r="K10" s="1824" t="s">
        <v>3034</v>
      </c>
      <c r="L10" s="358" t="s">
        <v>1406</v>
      </c>
      <c r="M10" s="1366" t="s">
        <v>1407</v>
      </c>
    </row>
    <row r="11" spans="1:37" ht="18" customHeight="1">
      <c r="A11" s="353"/>
      <c r="B11" s="1825" t="s">
        <v>1384</v>
      </c>
      <c r="C11" s="1178"/>
      <c r="D11" s="1826"/>
      <c r="E11" s="358" t="s">
        <v>1408</v>
      </c>
      <c r="F11" s="359">
        <f ca="1">'数据-取费表'!B39</f>
        <v>1.4999999999999999E-2</v>
      </c>
      <c r="G11" s="1851"/>
      <c r="H11" s="1299"/>
      <c r="I11" s="1825" t="s">
        <v>1384</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25979</v>
      </c>
      <c r="D13" s="1331" t="s">
        <v>1411</v>
      </c>
      <c r="E13" s="1331" t="s">
        <v>1412</v>
      </c>
      <c r="F13" s="1332">
        <f ca="1">INDIRECT("'数据-取费表'!y"&amp;$G$1)</f>
        <v>0.6</v>
      </c>
      <c r="G13" s="1851"/>
      <c r="H13" s="1329">
        <v>2</v>
      </c>
      <c r="I13" s="1330" t="s">
        <v>1410</v>
      </c>
      <c r="J13" s="1290">
        <f ca="1">ROUND(J14*J15,0)</f>
        <v>0</v>
      </c>
      <c r="K13" s="1337" t="s">
        <v>1411</v>
      </c>
      <c r="L13" s="1852"/>
      <c r="M13" s="1853"/>
    </row>
    <row r="14" spans="1:37" ht="18" customHeight="1">
      <c r="A14" s="1201" t="s">
        <v>1031</v>
      </c>
      <c r="B14" s="347" t="s">
        <v>1413</v>
      </c>
      <c r="C14" s="363">
        <f ca="1">INDIRECT("'数据-取费表'!m"&amp;$G$1)+INDIRECT("'数据-取费表'!t"&amp;$G$1)</f>
        <v>28956</v>
      </c>
      <c r="D14" s="1800" t="s">
        <v>1414</v>
      </c>
      <c r="E14" s="1794"/>
      <c r="F14" s="364"/>
      <c r="G14" s="1851"/>
      <c r="H14" s="1201" t="s">
        <v>1032</v>
      </c>
      <c r="I14" s="347" t="s">
        <v>1415</v>
      </c>
      <c r="J14" s="24">
        <f ca="1">C29</f>
        <v>43298</v>
      </c>
      <c r="K14" s="15"/>
      <c r="L14" s="979"/>
      <c r="M14" s="980"/>
    </row>
    <row r="15" spans="1:37" s="1858" customFormat="1" ht="18" customHeight="1" thickBot="1">
      <c r="A15" s="1201" t="s">
        <v>1033</v>
      </c>
      <c r="B15" s="347" t="s">
        <v>1416</v>
      </c>
      <c r="C15" s="24">
        <f ca="1">ROUND(C14*F15,0)</f>
        <v>869</v>
      </c>
      <c r="D15" s="365" t="s">
        <v>1417</v>
      </c>
      <c r="E15" s="365" t="s">
        <v>1418</v>
      </c>
      <c r="F15" s="366">
        <f>'数据-取费表'!B33</f>
        <v>0.03</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1"/>
      <c r="H16" s="1329" t="s">
        <v>1027</v>
      </c>
      <c r="I16" s="1330" t="s">
        <v>1420</v>
      </c>
      <c r="J16" s="355">
        <f ca="1">ROUND(J17+J22+J23+J24,0)</f>
        <v>1032</v>
      </c>
      <c r="K16" s="1337" t="s">
        <v>1421</v>
      </c>
      <c r="L16" s="1338"/>
      <c r="M16" s="1294"/>
    </row>
    <row r="17" spans="1:37" s="1858" customFormat="1" ht="18" customHeight="1">
      <c r="A17" s="1201" t="s">
        <v>1386</v>
      </c>
      <c r="B17" s="347" t="s">
        <v>1422</v>
      </c>
      <c r="C17" s="24">
        <f ca="1">ROUND(F17*(F43+INDIRECT("'数据-取费表'!S"&amp;$G$1))/10000,0)</f>
        <v>3861</v>
      </c>
      <c r="D17" s="347" t="s">
        <v>1423</v>
      </c>
      <c r="E17" s="347" t="s">
        <v>1424</v>
      </c>
      <c r="F17" s="26">
        <f>'数据-取费表'!B35</f>
        <v>200</v>
      </c>
      <c r="G17" s="1854"/>
      <c r="H17" s="1201" t="s">
        <v>1032</v>
      </c>
      <c r="I17" s="347" t="s">
        <v>1425</v>
      </c>
      <c r="J17" s="24">
        <f ca="1">ROUND(IF(项目基本情况!B11="自然人",J5*M17,J18+J19+J20),1)</f>
        <v>382.9</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434</v>
      </c>
      <c r="D18" s="347" t="s">
        <v>1417</v>
      </c>
      <c r="E18" s="347" t="s">
        <v>1418</v>
      </c>
      <c r="F18" s="367">
        <f>'数据-取费表'!B36</f>
        <v>1.4999999999999999E-2</v>
      </c>
      <c r="G18" s="1854"/>
      <c r="H18" s="1201" t="s">
        <v>1031</v>
      </c>
      <c r="I18" s="347" t="s">
        <v>1429</v>
      </c>
      <c r="J18" s="24">
        <f ca="1">ROUND(J5*M18/(1+'数据-取费表'!C42),2)</f>
        <v>0</v>
      </c>
      <c r="K18" s="1798" t="s">
        <v>1430</v>
      </c>
      <c r="L18" s="347" t="s">
        <v>1418</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34120</v>
      </c>
      <c r="D19" s="140" t="s">
        <v>1432</v>
      </c>
      <c r="E19" s="1818"/>
      <c r="F19" s="26"/>
      <c r="G19" s="1851"/>
      <c r="H19" s="1201" t="s">
        <v>1033</v>
      </c>
      <c r="I19" s="347" t="s">
        <v>1433</v>
      </c>
      <c r="J19" s="24">
        <f ca="1">IF(K19="按租金收入计税",ROUND(J5*M19,2),ROUND(C29*M19*0.7,2))</f>
        <v>363.7</v>
      </c>
      <c r="K19" s="1828" t="s">
        <v>1434</v>
      </c>
      <c r="L19" s="347" t="s">
        <v>1418</v>
      </c>
      <c r="M19" s="367">
        <f>IF(K19="按租金收入计税",'数据-取费表'!B51,'数据-取费表'!B50)</f>
        <v>1.2E-2</v>
      </c>
    </row>
    <row r="20" spans="1:37" s="1858" customFormat="1" ht="18" customHeight="1">
      <c r="A20" s="1201" t="s">
        <v>1036</v>
      </c>
      <c r="B20" s="347" t="s">
        <v>1435</v>
      </c>
      <c r="C20" s="24">
        <f ca="1">ROUND(C19*F20,0)</f>
        <v>682</v>
      </c>
      <c r="D20" s="369" t="s">
        <v>1436</v>
      </c>
      <c r="E20" s="347" t="s">
        <v>1418</v>
      </c>
      <c r="F20" s="367">
        <f>'数据-取费表'!B37</f>
        <v>0.02</v>
      </c>
      <c r="G20" s="1854"/>
      <c r="H20" s="1201" t="s">
        <v>1385</v>
      </c>
      <c r="I20" s="164" t="s">
        <v>1437</v>
      </c>
      <c r="J20" s="25">
        <f ca="1">ROUND(M20*M21/10000,2)</f>
        <v>19.18</v>
      </c>
      <c r="K20" s="370" t="s">
        <v>1438</v>
      </c>
      <c r="L20" s="347" t="s">
        <v>1439</v>
      </c>
      <c r="M20" s="371">
        <f>'数据-取费表'!B52</f>
        <v>2</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18</v>
      </c>
      <c r="D21" s="369" t="s">
        <v>1441</v>
      </c>
      <c r="E21" s="347" t="s">
        <v>1442</v>
      </c>
      <c r="F21" s="367">
        <f>'数据-取费表'!B38</f>
        <v>0.03</v>
      </c>
      <c r="G21" s="1854"/>
      <c r="H21" s="372"/>
      <c r="I21" s="356"/>
      <c r="J21" s="29"/>
      <c r="K21" s="373"/>
      <c r="L21" s="347" t="s">
        <v>1443</v>
      </c>
      <c r="M21" s="348">
        <f ca="1">INDIRECT("'数据-取费表'!r"&amp;$G$1)</f>
        <v>95897.74</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ROUND(J14*M22,1)</f>
        <v>649.5</v>
      </c>
      <c r="K22" s="1798" t="s">
        <v>1446</v>
      </c>
      <c r="L22" s="347" t="s">
        <v>1418</v>
      </c>
      <c r="M22" s="374">
        <f ca="1">INDIRECT("'数据-取费表'!Ak"&amp;$G$1)</f>
        <v>1.4999999999999999E-2</v>
      </c>
    </row>
    <row r="23" spans="1:37" s="1858" customFormat="1" ht="18" customHeight="1">
      <c r="A23" s="1201" t="s">
        <v>1031</v>
      </c>
      <c r="B23" s="347" t="s">
        <v>1447</v>
      </c>
      <c r="C23" s="24">
        <f ca="1">IF('数据-取费表'!B22&lt;=1,ROUND(C19*F24*F23/2,0)+ROUND(C20*F24*F23/2,0),ROUND(C19*(POWER((1+F24),F23/2)-1),0)+ROUND(C20*(POWER((1+F24),F23/2)-1),0))</f>
        <v>1232</v>
      </c>
      <c r="D23" s="375" t="str">
        <f>IF(F23&lt;=1,"(建造成本+管理费用)×利率×(建设周期÷2)","(建造成本+管理费用)×((1+利率)^(建设周期÷2)-1)")</f>
        <v>(建造成本+管理费用)×((1+利率)^(建设周期÷2)-1)</v>
      </c>
      <c r="E23" s="347" t="s">
        <v>1448</v>
      </c>
      <c r="F23" s="371">
        <f>'数据-取费表'!B20</f>
        <v>1.5</v>
      </c>
      <c r="G23" s="1854"/>
      <c r="H23" s="1201" t="s">
        <v>1072</v>
      </c>
      <c r="I23" s="347" t="s">
        <v>1449</v>
      </c>
      <c r="J23" s="24">
        <f ca="1">ROUND(J13*M23,1)</f>
        <v>0</v>
      </c>
      <c r="K23" s="1798" t="s">
        <v>1450</v>
      </c>
      <c r="L23" s="347" t="s">
        <v>1451</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1.1000000000000001E-3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ROUND(J5*M24,1)</f>
        <v>0</v>
      </c>
      <c r="K24" s="1342" t="s">
        <v>1455</v>
      </c>
      <c r="L24" s="1340" t="s">
        <v>1451</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7" t="s">
        <v>1457</v>
      </c>
      <c r="C25" s="24"/>
      <c r="D25" s="140" t="s">
        <v>1458</v>
      </c>
      <c r="E25" s="1818"/>
      <c r="F25" s="26"/>
      <c r="G25" s="1851"/>
      <c r="H25" s="1329" t="s">
        <v>1028</v>
      </c>
      <c r="I25" s="1344" t="s">
        <v>1459</v>
      </c>
      <c r="J25" s="355">
        <f ca="1">J5-J16</f>
        <v>-1032</v>
      </c>
      <c r="K25" s="1345" t="s">
        <v>1460</v>
      </c>
      <c r="L25" s="1346"/>
      <c r="M25" s="1347"/>
    </row>
    <row r="26" spans="1:37">
      <c r="A26" s="1201" t="s">
        <v>1031</v>
      </c>
      <c r="B26" s="347" t="s">
        <v>1461</v>
      </c>
      <c r="C26" s="24">
        <f ca="1">ROUND((C19+C20)*F26,0)</f>
        <v>3480</v>
      </c>
      <c r="D26" s="369" t="s">
        <v>1462</v>
      </c>
      <c r="E26" s="358" t="s">
        <v>1463</v>
      </c>
      <c r="F26" s="357">
        <f ca="1">INDIRECT("'数据-取费表'!q"&amp;$G$1)</f>
        <v>0.1</v>
      </c>
      <c r="G26" s="1851"/>
      <c r="H26" s="344" t="s">
        <v>1029</v>
      </c>
      <c r="I26" s="345" t="s">
        <v>1464</v>
      </c>
      <c r="J26" s="346">
        <f ca="1">IF(J5&lt;&gt;0,ROUND(J25*(1-((1+M28)/(1+M26))^M27)/(M26-M28),0),0)</f>
        <v>0</v>
      </c>
      <c r="K26" s="370" t="s">
        <v>1465</v>
      </c>
      <c r="L26" s="347" t="s">
        <v>1466</v>
      </c>
      <c r="M26" s="357">
        <f ca="1">INDIRECT("'数据-取费表'!I"&amp;$G$1)</f>
        <v>0.05</v>
      </c>
    </row>
    <row r="27" spans="1:37" ht="18" customHeight="1">
      <c r="A27" s="1201" t="s">
        <v>1033</v>
      </c>
      <c r="B27" s="347" t="s">
        <v>1467</v>
      </c>
      <c r="C27" s="24">
        <f ca="1">ROUND(F21*F26,4)</f>
        <v>3.0000000000000001E-3</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5.33E-2</v>
      </c>
      <c r="D28" s="369" t="s">
        <v>1472</v>
      </c>
      <c r="E28" s="347" t="s">
        <v>1418</v>
      </c>
      <c r="F28" s="367">
        <f>'数据-取费表'!B41</f>
        <v>5.6000000000000001E-2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43298</v>
      </c>
      <c r="D29" s="1342"/>
      <c r="E29" s="1340"/>
      <c r="F29" s="1343"/>
      <c r="G29" s="1854"/>
      <c r="H29" s="380" t="s">
        <v>1030</v>
      </c>
      <c r="I29" s="381" t="s">
        <v>1475</v>
      </c>
      <c r="J29" s="382">
        <f ca="1">ROUND(J26/(1+F40)^F41,0)</f>
        <v>0</v>
      </c>
      <c r="K29" s="383" t="s">
        <v>1476</v>
      </c>
      <c r="L29" s="384"/>
      <c r="M29" s="385">
        <f ca="1">INDIRECT("'数据-取费表'!k"&amp;$G$1)</f>
        <v>192636.23</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1738</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ROUND(IF(项目基本情况!B11="自然人",C5*F31,C32+C33+C34),1)</f>
        <v>992.8</v>
      </c>
      <c r="D31" s="1800" t="s">
        <v>1426</v>
      </c>
      <c r="E31" s="179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IF(项目基本情况!B11="自然人","——",ROUND(C5*F32/(1+'数据-取费表'!C42),2))</f>
        <v>299.57</v>
      </c>
      <c r="D32" s="1798" t="s">
        <v>1430</v>
      </c>
      <c r="E32" s="347" t="s">
        <v>1418</v>
      </c>
      <c r="F32" s="377">
        <f>'数据-取费表'!B41</f>
        <v>5.6000000000000001E-2</v>
      </c>
      <c r="G32" s="1851"/>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674.04</v>
      </c>
      <c r="D33" s="1828" t="s">
        <v>3291</v>
      </c>
      <c r="E33" s="347" t="s">
        <v>1418</v>
      </c>
      <c r="F33" s="367">
        <f>IF(D33="按票据","——",IF(D33="按租金收入计税",'数据-取费表'!B51,'数据-取费表'!B50))</f>
        <v>0.12</v>
      </c>
      <c r="G33" s="1851"/>
      <c r="H33" s="1859"/>
      <c r="I33" s="1860"/>
      <c r="J33" s="1861"/>
      <c r="K33" s="1862"/>
      <c r="L33" s="1859"/>
      <c r="M33" s="1859"/>
    </row>
    <row r="34" spans="1:18" ht="18" customHeight="1">
      <c r="A34" s="1291" t="s">
        <v>1385</v>
      </c>
      <c r="B34" s="164" t="s">
        <v>1437</v>
      </c>
      <c r="C34" s="25">
        <f ca="1">IF(项目基本情况!B11="自然人","——",ROUND(F34*F35/10000,2))</f>
        <v>19.18</v>
      </c>
      <c r="D34" s="370" t="s">
        <v>1438</v>
      </c>
      <c r="E34" s="347" t="s">
        <v>1439</v>
      </c>
      <c r="F34" s="371">
        <f>'数据-取费表'!B52</f>
        <v>2</v>
      </c>
      <c r="G34" s="1851"/>
      <c r="H34" s="745"/>
      <c r="I34" s="1860"/>
      <c r="J34" s="1861"/>
      <c r="K34" s="1863"/>
      <c r="L34" s="1864"/>
      <c r="M34" s="1864"/>
    </row>
    <row r="35" spans="1:18" ht="18" customHeight="1">
      <c r="A35" s="1353"/>
      <c r="B35" s="1351"/>
      <c r="C35" s="29"/>
      <c r="D35" s="373"/>
      <c r="E35" s="347" t="s">
        <v>1443</v>
      </c>
      <c r="F35" s="348">
        <f ca="1">INDIRECT("'数据-取费表'!r"&amp;$G$1)</f>
        <v>95897.74</v>
      </c>
      <c r="G35" s="1851"/>
      <c r="H35" s="745"/>
      <c r="I35" s="1860"/>
      <c r="J35" s="1861"/>
      <c r="K35" s="1862"/>
      <c r="L35" s="1859"/>
      <c r="M35" s="1859"/>
    </row>
    <row r="36" spans="1:18" ht="18" customHeight="1">
      <c r="A36" s="1352" t="s">
        <v>1036</v>
      </c>
      <c r="B36" s="347" t="s">
        <v>1445</v>
      </c>
      <c r="C36" s="24">
        <f ca="1">ROUND(C29*F36,1)</f>
        <v>649.5</v>
      </c>
      <c r="D36" s="1798" t="s">
        <v>1478</v>
      </c>
      <c r="E36" s="347" t="s">
        <v>1418</v>
      </c>
      <c r="F36" s="374">
        <f ca="1">INDIRECT("'数据-取费表'!Ak"&amp;$G$1)</f>
        <v>1.4999999999999999E-2</v>
      </c>
      <c r="G36" s="1851"/>
      <c r="H36" s="1859"/>
      <c r="I36" s="1860"/>
      <c r="J36" s="1861"/>
      <c r="K36" s="751"/>
      <c r="L36" s="1859"/>
      <c r="M36" s="1859"/>
    </row>
    <row r="37" spans="1:18" ht="18" customHeight="1">
      <c r="A37" s="1201" t="s">
        <v>1072</v>
      </c>
      <c r="B37" s="347" t="s">
        <v>1449</v>
      </c>
      <c r="C37" s="24">
        <f ca="1">ROUND(C13*F37,1)</f>
        <v>39</v>
      </c>
      <c r="D37" s="1798" t="s">
        <v>1450</v>
      </c>
      <c r="E37" s="347" t="s">
        <v>1451</v>
      </c>
      <c r="F37" s="376">
        <f ca="1">INDIRECT("'数据-取费表'!Al"&amp;$G$1)</f>
        <v>1.5E-3</v>
      </c>
      <c r="G37" s="1851"/>
      <c r="H37" s="1859"/>
      <c r="I37" s="1860"/>
      <c r="J37" s="1861"/>
      <c r="K37" s="751"/>
      <c r="L37" s="1859"/>
      <c r="M37" s="1859"/>
    </row>
    <row r="38" spans="1:18" ht="18" customHeight="1" thickBot="1">
      <c r="A38" s="1339" t="s">
        <v>1389</v>
      </c>
      <c r="B38" s="1340" t="s">
        <v>1435</v>
      </c>
      <c r="C38" s="1341">
        <f ca="1">ROUND(C5*F38,1)</f>
        <v>56.2</v>
      </c>
      <c r="D38" s="1342" t="s">
        <v>1455</v>
      </c>
      <c r="E38" s="1340" t="s">
        <v>1451</v>
      </c>
      <c r="F38" s="1336">
        <f ca="1">INDIRECT("'数据-取费表'!Am"&amp;$G$1)</f>
        <v>0.01</v>
      </c>
      <c r="G38" s="1851"/>
      <c r="H38" s="1859"/>
      <c r="I38" s="1860"/>
      <c r="J38" s="1861"/>
      <c r="K38" s="1865"/>
      <c r="L38" s="1859"/>
      <c r="M38" s="1859"/>
    </row>
    <row r="39" spans="1:18" ht="24.6" customHeight="1" thickTop="1">
      <c r="A39" s="1329" t="s">
        <v>1028</v>
      </c>
      <c r="B39" s="1344" t="s">
        <v>1479</v>
      </c>
      <c r="C39" s="355">
        <f ca="1">C5-C30</f>
        <v>3879</v>
      </c>
      <c r="D39" s="1345" t="s">
        <v>1480</v>
      </c>
      <c r="E39" s="1346"/>
      <c r="F39" s="1347"/>
      <c r="G39" s="1851"/>
      <c r="H39" s="1859"/>
      <c r="I39" s="1860"/>
      <c r="J39" s="1861"/>
      <c r="K39" s="1865"/>
      <c r="L39" s="1859"/>
      <c r="M39" s="1859"/>
    </row>
    <row r="40" spans="1:18" ht="18" customHeight="1">
      <c r="A40" s="344" t="s">
        <v>1029</v>
      </c>
      <c r="B40" s="345" t="s">
        <v>1481</v>
      </c>
      <c r="C40" s="346">
        <f ca="1">ROUND(C39*(1-((1+F42)/(1+F40))^F41)/(F40-F42),0)</f>
        <v>68752</v>
      </c>
      <c r="D40" s="370" t="s">
        <v>1465</v>
      </c>
      <c r="E40" s="347" t="s">
        <v>1466</v>
      </c>
      <c r="F40" s="357">
        <f ca="1">INDIRECT("'数据-取费表'!I"&amp;$G$1)</f>
        <v>0.05</v>
      </c>
      <c r="G40" s="1851"/>
      <c r="H40" s="1839"/>
      <c r="I40" s="1860"/>
      <c r="J40" s="1861"/>
      <c r="K40" s="1865"/>
      <c r="L40" s="1839"/>
      <c r="M40" s="1839"/>
    </row>
    <row r="41" spans="1:18" ht="18" customHeight="1">
      <c r="A41" s="349"/>
      <c r="B41" s="350"/>
      <c r="C41" s="351"/>
      <c r="D41" s="378" t="s">
        <v>1482</v>
      </c>
      <c r="E41" s="347" t="s">
        <v>1470</v>
      </c>
      <c r="F41" s="3135">
        <f ca="1">IF(INDIRECT("'数据-取费表'!af"&amp;$G$1)=0,INDIRECT("'数据-取费表'!ae"&amp;$G$1),INDIRECT("'数据-取费表'!af"&amp;$G$1))</f>
        <v>22.76</v>
      </c>
      <c r="G41" s="1851"/>
      <c r="H41" s="732"/>
      <c r="I41" s="1860"/>
      <c r="J41" s="1861"/>
      <c r="K41" s="751"/>
      <c r="L41" s="732"/>
      <c r="M41" s="732"/>
    </row>
    <row r="42" spans="1:18" ht="18" customHeight="1">
      <c r="A42" s="353"/>
      <c r="B42" s="354"/>
      <c r="C42" s="355"/>
      <c r="D42" s="373"/>
      <c r="E42" s="347" t="s">
        <v>1473</v>
      </c>
      <c r="F42" s="357">
        <f ca="1">INDIRECT("'数据-取费表'!v"&amp;$G$1)</f>
        <v>0.03</v>
      </c>
      <c r="G42" s="1851"/>
      <c r="H42" s="732"/>
      <c r="I42" s="1860"/>
      <c r="J42" s="1861"/>
      <c r="K42" s="751"/>
      <c r="L42" s="732"/>
      <c r="M42" s="732"/>
    </row>
    <row r="43" spans="1:18" ht="18" customHeight="1" thickBot="1">
      <c r="A43" s="380" t="s">
        <v>1030</v>
      </c>
      <c r="B43" s="381" t="s">
        <v>1483</v>
      </c>
      <c r="C43" s="382">
        <f ca="1">ROUND(C40*10000/F43,0)</f>
        <v>3569</v>
      </c>
      <c r="D43" s="383" t="s">
        <v>1484</v>
      </c>
      <c r="E43" s="384" t="s">
        <v>1485</v>
      </c>
      <c r="F43" s="385">
        <f ca="1">INDIRECT("'数据-取费表'!k"&amp;$G$1)</f>
        <v>192636.23</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1515</v>
      </c>
      <c r="P45" s="1839"/>
      <c r="Q45" s="1839"/>
      <c r="R45" s="1839"/>
    </row>
    <row r="46" spans="1:18" s="1842" customFormat="1" ht="13.5" thickBot="1">
      <c r="A46" s="1870" t="s">
        <v>1516</v>
      </c>
      <c r="C46" s="1871">
        <f ca="1">C68-C40</f>
        <v>-127027</v>
      </c>
      <c r="D46" s="1872" t="str">
        <f>C2</f>
        <v>万元</v>
      </c>
      <c r="E46" s="1866"/>
      <c r="F46" s="1866"/>
      <c r="I46" s="1873" t="s">
        <v>1517</v>
      </c>
      <c r="J46" s="1874"/>
      <c r="K46" s="1875"/>
      <c r="L46" s="1876" t="str">
        <f ca="1">IF(M47="住宅",0,IF(L48&gt;J51,L60,J60))</f>
        <v>0</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92"/>
      <c r="I47" s="1880" t="s">
        <v>1522</v>
      </c>
      <c r="J47" s="1881" t="s">
        <v>3292</v>
      </c>
      <c r="K47" s="1882" t="s">
        <v>1523</v>
      </c>
      <c r="L47" s="1883">
        <f ca="1">INDIRECT("'数据-取费表'!d"&amp;$G$1)</f>
        <v>50</v>
      </c>
      <c r="M47" s="1838" t="str">
        <f>IF(ISNUMBER(FIND("住宅",C1)),"住宅","非住宅")</f>
        <v>非住宅</v>
      </c>
      <c r="O47" s="1884" t="s">
        <v>1037</v>
      </c>
      <c r="P47" s="1885" t="s">
        <v>1524</v>
      </c>
      <c r="Q47" s="1886">
        <f ca="1">C40+J29</f>
        <v>68752</v>
      </c>
      <c r="R47" s="1886" t="s">
        <v>1525</v>
      </c>
    </row>
    <row r="48" spans="1:18" s="1842" customFormat="1" ht="28.5" thickBot="1">
      <c r="A48" s="1360" t="s">
        <v>1132</v>
      </c>
      <c r="B48" s="345" t="s">
        <v>1397</v>
      </c>
      <c r="C48" s="1817">
        <f ca="1">C49+C53+C55</f>
        <v>0</v>
      </c>
      <c r="D48" s="1362"/>
      <c r="E48" s="1363"/>
      <c r="F48" s="1181"/>
      <c r="G48" s="792"/>
      <c r="H48" s="793"/>
      <c r="I48" s="1887" t="s">
        <v>1526</v>
      </c>
      <c r="J48" s="1888" t="s">
        <v>3299</v>
      </c>
      <c r="K48" s="1889" t="s">
        <v>1527</v>
      </c>
      <c r="L48" s="1890">
        <f ca="1">INDIRECT("'数据-取费表'!f"&amp;$G$1)</f>
        <v>22.76</v>
      </c>
      <c r="O48" s="1884" t="s">
        <v>1038</v>
      </c>
      <c r="P48" s="1885" t="s">
        <v>1528</v>
      </c>
      <c r="Q48" s="1886" t="str">
        <f ca="1">J60</f>
        <v>0</v>
      </c>
      <c r="R48" s="1886" t="s">
        <v>1529</v>
      </c>
    </row>
    <row r="49" spans="1:18" s="1842" customFormat="1" ht="13.5" thickBot="1">
      <c r="A49" s="1194" t="s">
        <v>1133</v>
      </c>
      <c r="B49" s="1829" t="s">
        <v>1486</v>
      </c>
      <c r="C49" s="1364">
        <f ca="1">ROUND(F49*F51*F50*(1-F52)/10000,0)</f>
        <v>0</v>
      </c>
      <c r="D49" s="1276" t="s">
        <v>3027</v>
      </c>
      <c r="E49" s="1830" t="s">
        <v>1487</v>
      </c>
      <c r="F49" s="1281"/>
      <c r="G49" s="1891"/>
      <c r="H49" s="793"/>
      <c r="I49" s="1887" t="s">
        <v>1530</v>
      </c>
      <c r="J49" s="3133">
        <v>1990</v>
      </c>
      <c r="K49" s="1889" t="s">
        <v>1531</v>
      </c>
      <c r="L49" s="1893"/>
      <c r="O49" s="1894" t="s">
        <v>1039</v>
      </c>
      <c r="P49" s="1885" t="s">
        <v>1532</v>
      </c>
      <c r="Q49" s="1886">
        <f ca="1">C29</f>
        <v>43298</v>
      </c>
      <c r="R49" s="1886" t="s">
        <v>1525</v>
      </c>
    </row>
    <row r="50" spans="1:18" s="1842" customFormat="1" ht="13.5" thickBot="1">
      <c r="A50" s="1195"/>
      <c r="B50" s="1198"/>
      <c r="C50" s="1368"/>
      <c r="D50" s="1172"/>
      <c r="E50" s="1277" t="s">
        <v>1402</v>
      </c>
      <c r="F50" s="1278">
        <f ca="1">F7</f>
        <v>192636.23</v>
      </c>
      <c r="H50" s="793"/>
      <c r="I50" s="1887" t="s">
        <v>1533</v>
      </c>
      <c r="J50" s="1895">
        <f>SUMPRODUCT((I63:I65=J47)*(J62:L62=J48)*(J63:L65))</f>
        <v>60</v>
      </c>
      <c r="K50" s="1889" t="s">
        <v>1534</v>
      </c>
      <c r="L50" s="1893"/>
      <c r="M50" s="1896"/>
      <c r="O50" s="1894" t="s">
        <v>1040</v>
      </c>
      <c r="P50" s="1885" t="s">
        <v>1535</v>
      </c>
      <c r="Q50" s="1897" t="e">
        <f ca="1">J58</f>
        <v>#VALUE!</v>
      </c>
      <c r="R50" s="1886"/>
    </row>
    <row r="51" spans="1:18" s="1842" customFormat="1" ht="13.5" thickBot="1">
      <c r="A51" s="1196"/>
      <c r="B51" s="1198"/>
      <c r="C51" s="1199"/>
      <c r="D51" s="1172"/>
      <c r="E51" s="1200" t="s">
        <v>1403</v>
      </c>
      <c r="F51" s="348">
        <f ca="1">F8</f>
        <v>12</v>
      </c>
      <c r="I51" s="1898" t="s">
        <v>1536</v>
      </c>
      <c r="J51" s="1899">
        <f>IF(J49="",J50,J49+J50-YEAR('数据-取费表'!B2))</f>
        <v>31</v>
      </c>
      <c r="K51" s="1900" t="s">
        <v>1537</v>
      </c>
      <c r="L51" s="1901">
        <f ca="1">ROUND(-PV(INDIRECT("'数据-取费表'!h"&amp;$G$1),L48,(C39-C13*C76),0),0)</f>
        <v>25321</v>
      </c>
      <c r="M51" s="1902"/>
      <c r="O51" s="1894" t="s">
        <v>1041</v>
      </c>
      <c r="P51" s="1885" t="s">
        <v>1538</v>
      </c>
      <c r="Q51" s="1897">
        <f>J52</f>
        <v>0.09</v>
      </c>
      <c r="R51" s="1886"/>
    </row>
    <row r="52" spans="1:18" s="1842" customFormat="1" ht="13.5" thickBot="1">
      <c r="A52" s="1196"/>
      <c r="B52" s="1198"/>
      <c r="C52" s="1199"/>
      <c r="D52" s="1172"/>
      <c r="E52" s="1200" t="s">
        <v>1404</v>
      </c>
      <c r="F52" s="1275"/>
      <c r="I52" s="1903" t="s">
        <v>1539</v>
      </c>
      <c r="J52" s="1904">
        <v>0.09</v>
      </c>
      <c r="K52" s="1903" t="s">
        <v>1540</v>
      </c>
      <c r="L52" s="1904">
        <f>'数据-取费表'!H6</f>
        <v>4.4999999999999998E-2</v>
      </c>
      <c r="O52" s="1894" t="s">
        <v>1042</v>
      </c>
      <c r="P52" s="1885" t="s">
        <v>1541</v>
      </c>
      <c r="Q52" s="1886">
        <f ca="1">J53</f>
        <v>22.76</v>
      </c>
      <c r="R52" s="1886" t="s">
        <v>1542</v>
      </c>
    </row>
    <row r="53" spans="1:18" s="1842" customFormat="1" ht="24.75" thickBot="1">
      <c r="A53" s="1405" t="s">
        <v>1134</v>
      </c>
      <c r="B53" s="1831" t="s">
        <v>1405</v>
      </c>
      <c r="C53" s="361">
        <f ca="1">ROUND(IF(F53="押一",C49/12*F11,IF(F53="押二",C49/12*2*F11,IF(F53="押三",C49/12*3*F11,C54*F11))),0)</f>
        <v>0</v>
      </c>
      <c r="D53" s="1824" t="s">
        <v>3034</v>
      </c>
      <c r="E53" s="358" t="s">
        <v>1406</v>
      </c>
      <c r="F53" s="1366"/>
      <c r="I53" s="1905" t="s">
        <v>1543</v>
      </c>
      <c r="J53" s="1906">
        <f ca="1">IF(M47="住宅",IF(D1="——",MAX(J51,L48),IF(D1="在建（套用方法）",MAX(J51,L48-'数据-取费表'!B24),MAX(J51,L48-'数据-取费表'!B20))),IF(D1="——",MIN(J51,L48),IF(D1="在建（套用方法）",MIN(J51,L48-'数据-取费表'!B24),IF(D1="土地（套用方法）",MIN(J51,L48-'数据-取费表'!B20)))))</f>
        <v>22.76</v>
      </c>
      <c r="K53" s="3393" t="s">
        <v>1544</v>
      </c>
      <c r="L53" s="3394"/>
      <c r="O53" s="1884" t="s">
        <v>1043</v>
      </c>
      <c r="P53" s="1885" t="s">
        <v>1545</v>
      </c>
      <c r="Q53" s="1886">
        <f ca="1">Q47+Q48</f>
        <v>68752</v>
      </c>
      <c r="R53" s="1886" t="s">
        <v>1044</v>
      </c>
    </row>
    <row r="54" spans="1:18" s="1842" customFormat="1" ht="13.5" thickBot="1">
      <c r="A54" s="1406"/>
      <c r="B54" s="1825" t="s">
        <v>1384</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#VALUE!</v>
      </c>
      <c r="K55" s="1912" t="s">
        <v>1548</v>
      </c>
      <c r="L55" s="1913" t="s">
        <v>1549</v>
      </c>
      <c r="O55" s="1877" t="s">
        <v>1518</v>
      </c>
      <c r="P55" s="1878" t="s">
        <v>1519</v>
      </c>
      <c r="Q55" s="1879" t="s">
        <v>1520</v>
      </c>
      <c r="R55" s="1879" t="s">
        <v>1521</v>
      </c>
    </row>
    <row r="56" spans="1:18" s="1842" customFormat="1" ht="25.5" thickTop="1" thickBot="1">
      <c r="A56" s="1176">
        <v>2</v>
      </c>
      <c r="B56" s="1177" t="s">
        <v>1410</v>
      </c>
      <c r="C56" s="276">
        <f ca="1">C13</f>
        <v>25979</v>
      </c>
      <c r="D56" s="1914"/>
      <c r="E56" s="1915"/>
      <c r="F56" s="1907"/>
      <c r="I56" s="1916" t="s">
        <v>1550</v>
      </c>
      <c r="J56" s="1917" t="s">
        <v>3052</v>
      </c>
      <c r="K56" s="1887" t="s">
        <v>1551</v>
      </c>
      <c r="L56" s="1890" t="str">
        <f ca="1">IF(L48&lt;J51,"——",L48-J53)</f>
        <v>——</v>
      </c>
      <c r="O56" s="1884" t="s">
        <v>1037</v>
      </c>
      <c r="P56" s="1885" t="s">
        <v>1524</v>
      </c>
      <c r="Q56" s="1886">
        <f ca="1">C40+J29</f>
        <v>68752</v>
      </c>
      <c r="R56" s="1886" t="s">
        <v>1525</v>
      </c>
    </row>
    <row r="57" spans="1:18" s="1842" customFormat="1" ht="24.75" thickBot="1">
      <c r="A57" s="1918"/>
      <c r="B57" s="1169" t="s">
        <v>1474</v>
      </c>
      <c r="C57" s="282">
        <f ca="1">C29</f>
        <v>43298</v>
      </c>
      <c r="D57" s="1919"/>
      <c r="E57" s="1920"/>
      <c r="F57" s="1921"/>
      <c r="I57" s="1922" t="s">
        <v>1552</v>
      </c>
      <c r="J57" s="1923" t="str">
        <f ca="1">IF(OR(M47="住宅",J51&lt;L48,J56="是"),"——",J51-L48)</f>
        <v>——</v>
      </c>
      <c r="K57" s="1887" t="s">
        <v>1553</v>
      </c>
      <c r="L57" s="1890" t="str">
        <f ca="1">IF(L48&lt;J51,"——",IF(L55="比较法",L49,IF(L55="基准地价",L50,L51)))</f>
        <v>——</v>
      </c>
      <c r="O57" s="1884" t="s">
        <v>1038</v>
      </c>
      <c r="P57" s="1885" t="s">
        <v>1554</v>
      </c>
      <c r="Q57" s="1886">
        <f ca="1">L60</f>
        <v>0</v>
      </c>
      <c r="R57" s="1886" t="s">
        <v>1555</v>
      </c>
    </row>
    <row r="58" spans="1:18" s="1842" customFormat="1" ht="24.75" thickBot="1">
      <c r="A58" s="360" t="s">
        <v>1027</v>
      </c>
      <c r="B58" s="1177" t="s">
        <v>1420</v>
      </c>
      <c r="C58" s="361">
        <f ca="1">ROUND(C59+C64+C65+C66,0)</f>
        <v>4345</v>
      </c>
      <c r="D58" s="1179" t="s">
        <v>1421</v>
      </c>
      <c r="E58" s="1180"/>
      <c r="F58" s="1181"/>
      <c r="I58" s="1922" t="s">
        <v>1556</v>
      </c>
      <c r="J58" s="1924" t="e">
        <f ca="1">IF(J55&lt;0.4,0.4,J55)</f>
        <v>#VALUE!</v>
      </c>
      <c r="K58" s="1900" t="s">
        <v>1557</v>
      </c>
      <c r="L58" s="1890">
        <f ca="1">ROUND(POWER(1+L52,L47-L48)*(POWER(1+L52,L48)-1)/(POWER(1+L52,L47)-1),4)</f>
        <v>0.71160000000000001</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ROUND(IF(项目基本情况!B11="自然人",C48*F59,C60+C61+C62),1)</f>
        <v>3656.2</v>
      </c>
      <c r="D59" s="1182" t="s">
        <v>1426</v>
      </c>
      <c r="E59" s="1183" t="s">
        <v>1427</v>
      </c>
      <c r="F59" s="368" t="str">
        <f ca="1">IF(项目基本情况!B11="企业","",IF(INDIRECT("'数据-取费表'!c"&amp;$G$1)="住宅",5%,IF(F49*F50*F51/12/(1+'数据-取费表'!C42)&gt;20000,12%,7%)))</f>
        <v/>
      </c>
      <c r="I59" s="1922" t="s">
        <v>1559</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f ca="1">ROUND(IF(D1="在建（套用方法）",M59,IF(D1="土地（套用方法）",N59,POWER(1+L52,L47-J51)*(POWER(1+L52,J51)-1)/(POWER(1+L52,L47)-1))),4)</f>
        <v>0.83720000000000006</v>
      </c>
      <c r="M59" s="1838">
        <f ca="1">ROUND(POWER(1+L52,L47-(J51+'数据-取费表'!B24))*(POWER(1+L52,(J51+'数据-取费表'!B24))-1)/(POWER(1+L52,L47)-1),4)</f>
        <v>0.83720000000000006</v>
      </c>
      <c r="N59" s="1838">
        <f ca="1">ROUND(POWER(1+L52,L47-(J51+'数据-取费表'!B20))*(POWER(1+L52,(J51+'数据-取费表'!B20))-1)/(POWER(1+L52,L47)-1),4)</f>
        <v>0.85550000000000004</v>
      </c>
      <c r="O59" s="1894" t="s">
        <v>1040</v>
      </c>
      <c r="P59" s="1885" t="s">
        <v>1560</v>
      </c>
      <c r="Q59" s="1897">
        <f>L52</f>
        <v>4.4999999999999998E-2</v>
      </c>
      <c r="R59" s="1886"/>
    </row>
    <row r="60" spans="1:18" s="1842" customFormat="1" ht="16.5" thickBot="1">
      <c r="A60" s="1201" t="s">
        <v>1031</v>
      </c>
      <c r="B60" s="1169" t="s">
        <v>1429</v>
      </c>
      <c r="C60" s="24">
        <f ca="1">IF(项目基本情况!B11="自然人","——",ROUND(C48*F60/(1+'数据-取费表'!C42),2))</f>
        <v>0</v>
      </c>
      <c r="D60" s="1183" t="s">
        <v>1430</v>
      </c>
      <c r="E60" s="1169" t="s">
        <v>1418</v>
      </c>
      <c r="F60" s="377">
        <f t="shared" ref="F60:F66" si="0">F32</f>
        <v>5.6000000000000001E-2</v>
      </c>
      <c r="I60" s="1925" t="s">
        <v>1561</v>
      </c>
      <c r="J60" s="1926" t="str">
        <f ca="1">IF(OR(M47="住宅",J51&lt;L48,J56="是"),"0",ROUND(J59/(1+J52)^J53,0))</f>
        <v>0</v>
      </c>
      <c r="K60" s="1927" t="s">
        <v>1562</v>
      </c>
      <c r="L60" s="1926">
        <f ca="1">IF(OR(M47="住宅",L48&lt;J51),0,ROUND(L57*(L58/L59-1),0))</f>
        <v>0</v>
      </c>
      <c r="O60" s="1894" t="s">
        <v>1041</v>
      </c>
      <c r="P60" s="1885" t="s">
        <v>1563</v>
      </c>
      <c r="Q60" s="1886">
        <f ca="1">L58</f>
        <v>0.71160000000000001</v>
      </c>
      <c r="R60" s="1886" t="s">
        <v>1564</v>
      </c>
    </row>
    <row r="61" spans="1:18" s="1842" customFormat="1" ht="13.5" thickBot="1">
      <c r="A61" s="1201" t="s">
        <v>1488</v>
      </c>
      <c r="B61" s="1169" t="s">
        <v>1489</v>
      </c>
      <c r="C61" s="24">
        <f ca="1">IF(项目基本情况!B11="自然人","——",IF(D61="按租金收入计税",ROUND(C48*F61,2),IF(D61="按房产原值计税",ROUND(C57*F61*0.7,2),INDIRECT("'数据-取费表'!Aj"&amp;$G$1))))</f>
        <v>3637.03</v>
      </c>
      <c r="D61" s="1828" t="s">
        <v>1434</v>
      </c>
      <c r="E61" s="1169" t="s">
        <v>1490</v>
      </c>
      <c r="F61" s="367">
        <f t="shared" si="0"/>
        <v>0.12</v>
      </c>
      <c r="I61" s="1928"/>
      <c r="J61" s="1928"/>
      <c r="K61" s="1928"/>
      <c r="L61" s="1928"/>
      <c r="O61" s="1894" t="s">
        <v>1042</v>
      </c>
      <c r="P61" s="1885" t="str">
        <f>K59</f>
        <v>建筑物剩余耐用年限下的土地年期修正系数Kn</v>
      </c>
      <c r="Q61" s="1886">
        <f ca="1">L59</f>
        <v>0.83720000000000006</v>
      </c>
      <c r="R61" s="1886" t="s">
        <v>1565</v>
      </c>
    </row>
    <row r="62" spans="1:18" s="1842" customFormat="1" ht="13.5" thickBot="1">
      <c r="A62" s="1201" t="s">
        <v>1491</v>
      </c>
      <c r="B62" s="1168" t="s">
        <v>1492</v>
      </c>
      <c r="C62" s="25">
        <f ca="1">IF(项目基本情况!B11="自然人","——",ROUND(F62*F63/10000,2))</f>
        <v>19.18</v>
      </c>
      <c r="D62" s="1184" t="s">
        <v>1493</v>
      </c>
      <c r="E62" s="1169" t="s">
        <v>1494</v>
      </c>
      <c r="F62" s="371">
        <f t="shared" si="0"/>
        <v>2</v>
      </c>
      <c r="I62" s="1929" t="s">
        <v>1566</v>
      </c>
      <c r="J62" s="1930" t="s">
        <v>1567</v>
      </c>
      <c r="K62" s="1930" t="s">
        <v>1568</v>
      </c>
      <c r="L62" s="1930" t="s">
        <v>1569</v>
      </c>
      <c r="M62" s="1931" t="s">
        <v>1570</v>
      </c>
      <c r="O62" s="1884" t="s">
        <v>1043</v>
      </c>
      <c r="P62" s="1885" t="s">
        <v>1571</v>
      </c>
      <c r="Q62" s="1886">
        <f ca="1">Q56+Q57</f>
        <v>68752</v>
      </c>
      <c r="R62" s="1886" t="s">
        <v>1044</v>
      </c>
    </row>
    <row r="63" spans="1:18" s="1842" customFormat="1" ht="13.5" thickBot="1">
      <c r="A63" s="372"/>
      <c r="B63" s="1175"/>
      <c r="C63" s="29"/>
      <c r="D63" s="1185"/>
      <c r="E63" s="1169" t="s">
        <v>1495</v>
      </c>
      <c r="F63" s="348">
        <f t="shared" ca="1" si="0"/>
        <v>95897.74</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ROUND(C57*F64,1)</f>
        <v>649.5</v>
      </c>
      <c r="D64" s="1183" t="s">
        <v>1498</v>
      </c>
      <c r="E64" s="1169" t="s">
        <v>1490</v>
      </c>
      <c r="F64" s="374">
        <f t="shared" ca="1" si="0"/>
        <v>1.4999999999999999E-2</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ROUND(C56*F65,1)</f>
        <v>39</v>
      </c>
      <c r="D65" s="1183" t="s">
        <v>1450</v>
      </c>
      <c r="E65" s="1169" t="s">
        <v>1451</v>
      </c>
      <c r="F65" s="376">
        <f t="shared" ca="1" si="0"/>
        <v>1.5E-3</v>
      </c>
      <c r="I65" s="1929" t="s">
        <v>1575</v>
      </c>
      <c r="J65" s="1930">
        <v>40</v>
      </c>
      <c r="K65" s="1930">
        <v>30</v>
      </c>
      <c r="L65" s="1930">
        <v>50</v>
      </c>
      <c r="M65" s="1932">
        <v>0.02</v>
      </c>
      <c r="O65" s="1884" t="s">
        <v>1037</v>
      </c>
      <c r="P65" s="1885" t="s">
        <v>1576</v>
      </c>
      <c r="Q65" s="1886">
        <f ca="1">C40+J29</f>
        <v>68752</v>
      </c>
      <c r="R65" s="1886" t="s">
        <v>1525</v>
      </c>
    </row>
    <row r="66" spans="1:18" s="1842" customFormat="1" ht="16.5" thickBot="1">
      <c r="A66" s="1201" t="s">
        <v>1500</v>
      </c>
      <c r="B66" s="1169" t="s">
        <v>1435</v>
      </c>
      <c r="C66" s="24">
        <f ca="1">ROUND(C48*F66,1)</f>
        <v>0</v>
      </c>
      <c r="D66" s="1183" t="s">
        <v>1501</v>
      </c>
      <c r="E66" s="1169" t="s">
        <v>1418</v>
      </c>
      <c r="F66" s="357">
        <f t="shared" ca="1" si="0"/>
        <v>0.01</v>
      </c>
      <c r="O66" s="1884" t="s">
        <v>1038</v>
      </c>
      <c r="P66" s="1885" t="s">
        <v>1554</v>
      </c>
      <c r="Q66" s="1886">
        <f ca="1">L60</f>
        <v>0</v>
      </c>
      <c r="R66" s="1886" t="s">
        <v>1577</v>
      </c>
    </row>
    <row r="67" spans="1:18" s="1842" customFormat="1" ht="16.5" thickBot="1">
      <c r="A67" s="1176" t="s">
        <v>1028</v>
      </c>
      <c r="B67" s="1186" t="s">
        <v>1459</v>
      </c>
      <c r="C67" s="361">
        <f ca="1">C48-C58</f>
        <v>-4345</v>
      </c>
      <c r="D67" s="1182" t="s">
        <v>1460</v>
      </c>
      <c r="E67" s="1187"/>
      <c r="F67" s="1188"/>
      <c r="O67" s="1894" t="s">
        <v>1039</v>
      </c>
      <c r="P67" s="1885" t="s">
        <v>1558</v>
      </c>
      <c r="Q67" s="1933">
        <f ca="1">L51</f>
        <v>25321</v>
      </c>
      <c r="R67" s="1886" t="s">
        <v>1578</v>
      </c>
    </row>
    <row r="68" spans="1:18" s="1842" customFormat="1" ht="16.5" thickBot="1">
      <c r="A68" s="1166" t="s">
        <v>1029</v>
      </c>
      <c r="B68" s="1167" t="s">
        <v>1481</v>
      </c>
      <c r="C68" s="346">
        <f ca="1">ROUND(C67*(1-((1+F70)/(1+F68))^F69)/(F68-F70),0)</f>
        <v>-58275</v>
      </c>
      <c r="D68" s="1184" t="s">
        <v>1465</v>
      </c>
      <c r="E68" s="1169" t="s">
        <v>1466</v>
      </c>
      <c r="F68" s="357">
        <f ca="1">F40</f>
        <v>0.05</v>
      </c>
      <c r="O68" s="1894" t="s">
        <v>1040</v>
      </c>
      <c r="P68" s="1934" t="s">
        <v>1579</v>
      </c>
      <c r="Q68" s="1886">
        <f ca="1">ROUND(Q69-Q70*Q71,0)</f>
        <v>1801</v>
      </c>
      <c r="R68" s="1886" t="s">
        <v>1048</v>
      </c>
    </row>
    <row r="69" spans="1:18" s="1842" customFormat="1" ht="13.5" thickBot="1">
      <c r="A69" s="1170"/>
      <c r="B69" s="1171"/>
      <c r="C69" s="351"/>
      <c r="D69" s="1189" t="s">
        <v>1469</v>
      </c>
      <c r="E69" s="1169" t="s">
        <v>1470</v>
      </c>
      <c r="F69" s="379">
        <f ca="1">F41</f>
        <v>22.76</v>
      </c>
      <c r="O69" s="1894" t="s">
        <v>1045</v>
      </c>
      <c r="P69" s="1934" t="s">
        <v>1580</v>
      </c>
      <c r="Q69" s="1886">
        <f ca="1">C39</f>
        <v>3879</v>
      </c>
      <c r="R69" s="1886" t="s">
        <v>1525</v>
      </c>
    </row>
    <row r="70" spans="1:18" s="1842" customFormat="1" ht="13.5" thickBot="1">
      <c r="A70" s="1173"/>
      <c r="B70" s="1174"/>
      <c r="C70" s="355"/>
      <c r="D70" s="1185"/>
      <c r="E70" s="1169" t="s">
        <v>1473</v>
      </c>
      <c r="F70" s="1275"/>
      <c r="O70" s="1894" t="s">
        <v>1046</v>
      </c>
      <c r="P70" s="1934" t="s">
        <v>1581</v>
      </c>
      <c r="Q70" s="1886">
        <f ca="1">C13</f>
        <v>25979</v>
      </c>
      <c r="R70" s="1886" t="s">
        <v>1525</v>
      </c>
    </row>
    <row r="71" spans="1:18" s="1842" customFormat="1" ht="13.5" thickBot="1">
      <c r="A71" s="1190" t="s">
        <v>1030</v>
      </c>
      <c r="B71" s="1191" t="s">
        <v>1483</v>
      </c>
      <c r="C71" s="382">
        <f ca="1">ROUND(C68*10000/F71,0)</f>
        <v>-3025</v>
      </c>
      <c r="D71" s="1192" t="s">
        <v>1484</v>
      </c>
      <c r="E71" s="1193" t="s">
        <v>1485</v>
      </c>
      <c r="F71" s="385">
        <f ca="1">F43</f>
        <v>192636.23</v>
      </c>
      <c r="O71" s="1894" t="s">
        <v>1047</v>
      </c>
      <c r="P71" s="1934" t="s">
        <v>1582</v>
      </c>
      <c r="Q71" s="1897">
        <f ca="1">C76</f>
        <v>0.08</v>
      </c>
      <c r="R71" s="1886"/>
    </row>
    <row r="72" spans="1:18" s="1842" customFormat="1" ht="13.5" thickBot="1">
      <c r="B72" s="796"/>
      <c r="C72" s="796"/>
      <c r="O72" s="1894" t="s">
        <v>1041</v>
      </c>
      <c r="P72" s="1885" t="s">
        <v>1560</v>
      </c>
      <c r="Q72" s="1897">
        <f>L52</f>
        <v>4.4999999999999998E-2</v>
      </c>
      <c r="R72" s="1886"/>
    </row>
    <row r="73" spans="1:18" ht="16.5" thickBot="1">
      <c r="A73" s="1842"/>
      <c r="B73" s="796"/>
      <c r="C73" s="796"/>
      <c r="D73" s="1842"/>
      <c r="E73" s="1842"/>
      <c r="F73" s="1842"/>
      <c r="O73" s="1894" t="s">
        <v>1042</v>
      </c>
      <c r="P73" s="1885" t="s">
        <v>1563</v>
      </c>
      <c r="Q73" s="1886">
        <f ca="1">L58</f>
        <v>0.71160000000000001</v>
      </c>
      <c r="R73" s="1886" t="s">
        <v>1564</v>
      </c>
    </row>
    <row r="74" spans="1:18" ht="13.5" thickBot="1">
      <c r="A74" s="1842"/>
      <c r="B74" s="317" t="s">
        <v>1583</v>
      </c>
      <c r="C74" s="1936"/>
      <c r="D74" s="1842"/>
      <c r="E74" s="1842"/>
      <c r="F74" s="1842"/>
      <c r="O74" s="1894" t="s">
        <v>1049</v>
      </c>
      <c r="P74" s="1885" t="str">
        <f>K59</f>
        <v>建筑物剩余耐用年限下的土地年期修正系数Kn</v>
      </c>
      <c r="Q74" s="1886">
        <f ca="1">L59</f>
        <v>0.83720000000000006</v>
      </c>
      <c r="R74" s="1886" t="s">
        <v>1565</v>
      </c>
    </row>
    <row r="75" spans="1:18" ht="13.5" thickBot="1">
      <c r="A75" s="1842"/>
      <c r="B75" s="386" t="s">
        <v>1502</v>
      </c>
      <c r="C75" s="387">
        <f ca="1">ROUND(C13*C76,0)</f>
        <v>2078</v>
      </c>
      <c r="D75" s="1842"/>
      <c r="E75" s="1842"/>
      <c r="F75" s="1842"/>
      <c r="K75" s="1868"/>
      <c r="L75" s="1842"/>
      <c r="O75" s="1884" t="s">
        <v>1043</v>
      </c>
      <c r="P75" s="1885" t="s">
        <v>1545</v>
      </c>
      <c r="Q75" s="1886">
        <f ca="1">Q65+Q66</f>
        <v>68752</v>
      </c>
      <c r="R75" s="1886" t="s">
        <v>1044</v>
      </c>
    </row>
    <row r="76" spans="1:18">
      <c r="B76" s="388" t="s">
        <v>1503</v>
      </c>
      <c r="C76" s="389">
        <f ca="1">INDIRECT("'数据-取费表'!j"&amp;$G$1)</f>
        <v>0.08</v>
      </c>
      <c r="I76" s="1842"/>
      <c r="J76" s="1842"/>
      <c r="K76" s="1868"/>
      <c r="L76" s="1842"/>
    </row>
    <row r="77" spans="1:18">
      <c r="B77" s="390" t="s">
        <v>1504</v>
      </c>
      <c r="C77" s="391"/>
      <c r="I77" s="1842"/>
      <c r="J77" s="1842"/>
      <c r="K77" s="1868"/>
      <c r="L77" s="1842"/>
    </row>
    <row r="78" spans="1:18">
      <c r="B78" s="314" t="s">
        <v>1505</v>
      </c>
      <c r="C78" s="392"/>
    </row>
    <row r="79" spans="1:18">
      <c r="B79" s="386" t="s">
        <v>1506</v>
      </c>
      <c r="C79" s="318">
        <f ca="1">1-C80</f>
        <v>0.46399999999999997</v>
      </c>
    </row>
    <row r="80" spans="1:18">
      <c r="B80" s="386" t="s">
        <v>1507</v>
      </c>
      <c r="C80" s="318">
        <f ca="1">ROUND(C75/C39,3)</f>
        <v>0.53600000000000003</v>
      </c>
    </row>
    <row r="81" spans="2:3">
      <c r="B81" s="314" t="s">
        <v>1508</v>
      </c>
      <c r="C81" s="282"/>
    </row>
    <row r="82" spans="2:3">
      <c r="B82" s="317" t="s">
        <v>1509</v>
      </c>
      <c r="C82" s="319">
        <f ca="1">1-C83</f>
        <v>0.622</v>
      </c>
    </row>
    <row r="83" spans="2:3">
      <c r="B83" s="317" t="s">
        <v>1510</v>
      </c>
      <c r="C83" s="318">
        <f ca="1">ROUND(C13/C40,3)</f>
        <v>0.378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disablePrompts="1"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1607</v>
      </c>
    </row>
    <row r="2" spans="1:1">
      <c r="A2" s="1946"/>
    </row>
    <row r="3" spans="1:1" ht="18">
      <c r="A3" s="1947" t="str">
        <f>项目基本情况!B5&amp;"："</f>
        <v>五矿国际信托有限公司：</v>
      </c>
    </row>
    <row r="4" spans="1:1" ht="36">
      <c r="A4" s="1948" t="str">
        <f>"受贵公司委托，我公司对"&amp;项目基本情况!S1&amp;"进行了预评估。"</f>
        <v>受贵公司委托，我公司对广东省深圳市龙岗区布吉镇沙湾“百门前工业区”工业项目局部房地产抵押价值进行了预评估。</v>
      </c>
    </row>
    <row r="5" spans="1:1" ht="18.75">
      <c r="A5" s="1949" t="s">
        <v>1608</v>
      </c>
    </row>
    <row r="6" spans="1:1" ht="18.75">
      <c r="A6" s="1950" t="s">
        <v>1609</v>
      </c>
    </row>
    <row r="7" spans="1:1" ht="72">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东省深圳市龙岗区布吉镇沙湾“百门前工业区”工业项目局部房地产，为深圳市中住汇智实业有限公司所有。根据《房地产证》[深房地字第6000298230号]等共32本，估价对象（分摊）出让国有建设用地使用权面积为95897.74平方米，建筑面积为193040.62平方米。</v>
      </c>
    </row>
    <row r="8" spans="1:1" ht="57.75">
      <c r="A8" s="1951" t="s">
        <v>1610</v>
      </c>
    </row>
    <row r="9" spans="1:1" ht="18.75">
      <c r="A9" s="1950" t="s">
        <v>1611</v>
      </c>
    </row>
    <row r="10" spans="1:1" ht="90">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东省深圳市龙岗区布吉镇沙湾“百门前工业区”工业项目局部房地产,属深圳市中住汇智实业有限公司开发建设的工业项目，该项目尚在开发建设中。根据《房地产证》[深房地字第6000298230号]等共32本，估价对象（分摊）出让国有建设用地使用权面积为95897.74平方米，规划建筑面积为193040.62平方米。</v>
      </c>
    </row>
    <row r="11" spans="1:1" ht="76.5">
      <c r="A11" s="1951" t="s">
        <v>1612</v>
      </c>
    </row>
    <row r="12" spans="1:1" ht="18.75">
      <c r="A12" s="1949" t="s">
        <v>1613</v>
      </c>
    </row>
    <row r="13" spans="1:1" ht="38.25" customHeight="1">
      <c r="A13" s="1952" t="str">
        <f>IF(项目基本情况!B8="抵押",IF(项目基本情况!B5=项目基本情况!B6,定义!C51,定义!B51),定义!D51)</f>
        <v>深圳市中住汇智实业有限公司拟使用广东省深圳市龙岗区布吉镇沙湾“百门前工业区”工业项目局部房地产作为抵押担保物，向五矿国际信托有限公司办理贷款手续。五矿国际信托有限公司特委托北京康正宏基房地产评估有限公司对上述抵押物进行评估。本次评估为确定房地产抵押贷款额度提供参考依据而评估房地产抵押价值。</v>
      </c>
    </row>
    <row r="14" spans="1:1" ht="18.75">
      <c r="A14" s="1953" t="s">
        <v>1614</v>
      </c>
    </row>
    <row r="15" spans="1:1" ht="18">
      <c r="A15" s="1954" t="str">
        <f>TEXT(项目基本情况!D3,"yyyy年m月d日;;")&amp;IF(项目基本情况!D3=项目基本情况!B3,"（评估专业人员实地查勘之日）","")</f>
        <v>2019年3月20日（评估专业人员实地查勘之日）</v>
      </c>
    </row>
    <row r="16" spans="1:1" ht="18.75">
      <c r="A16" s="1953" t="s">
        <v>1615</v>
      </c>
    </row>
    <row r="17" spans="1:1" ht="75">
      <c r="A17" s="1948" t="s">
        <v>1616</v>
      </c>
    </row>
    <row r="18" spans="1:1" ht="72">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20日，估价对象规划用途为工业22.76年，土地取得方式为出让，出让国有建设用地使用权剩余土地使用年限为工业22.76年，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22.76年，实际开发程度为宗地红线外“七通”（即通路、通电、通讯、通上水、通下水、、）、红线内场地平整条件下，剩余土地使用年限为工业22.76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1605</v>
      </c>
    </row>
    <row r="24" spans="1:1" ht="18">
      <c r="A24" s="1955" t="str">
        <f>"本次评估采用的主估价方法为"&amp;结果表!K4&amp;"和"&amp;结果表!L4&amp;"。"</f>
        <v>本次评估采用的主估价方法为成本法和收益法。</v>
      </c>
    </row>
    <row r="25" spans="1:1" ht="18">
      <c r="A25" s="1955"/>
    </row>
    <row r="26" spans="1:1" ht="18.75">
      <c r="A26" s="1956" t="s">
        <v>1606</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G16" sqref="G16"/>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0" t="s">
        <v>2519</v>
      </c>
      <c r="B1" s="2561"/>
      <c r="C1" s="2561"/>
      <c r="D1" s="2561"/>
      <c r="E1" s="2562"/>
    </row>
    <row r="2" spans="1:6" ht="15.75">
      <c r="A2" s="2563" t="s">
        <v>2320</v>
      </c>
      <c r="B2" s="2564">
        <f ca="1">SUMIF(B6:B13,"&lt;&gt;#ref!",B6:B13)</f>
        <v>68752</v>
      </c>
      <c r="C2" s="2565" t="s">
        <v>2512</v>
      </c>
      <c r="D2" s="2566" t="s">
        <v>2513</v>
      </c>
      <c r="E2" s="2567">
        <f>SUM(E6:E13)</f>
        <v>193040.62000000002</v>
      </c>
    </row>
    <row r="3" spans="1:6" ht="15.75">
      <c r="A3" s="2563" t="s">
        <v>1391</v>
      </c>
      <c r="B3" s="2564">
        <f ca="1">ROUND(B2*10000/E2,0)</f>
        <v>3562</v>
      </c>
      <c r="C3" s="2565" t="s">
        <v>2520</v>
      </c>
      <c r="D3" s="2568"/>
      <c r="E3" s="2569"/>
    </row>
    <row r="4" spans="1:6" ht="15.75">
      <c r="A4" s="2570"/>
      <c r="B4" s="2568"/>
      <c r="C4" s="2568"/>
      <c r="D4" s="2568"/>
      <c r="E4" s="2569"/>
    </row>
    <row r="5" spans="1:6" ht="15">
      <c r="A5" s="2571" t="s">
        <v>2514</v>
      </c>
      <c r="B5" s="3398" t="s">
        <v>2515</v>
      </c>
      <c r="C5" s="3398"/>
      <c r="D5" s="2572"/>
      <c r="E5" s="2573" t="s">
        <v>2516</v>
      </c>
      <c r="F5" s="2574" t="s">
        <v>2517</v>
      </c>
    </row>
    <row r="6" spans="1:6">
      <c r="A6" s="2575" t="str">
        <f>'数据-取费表'!AN6</f>
        <v>收益法</v>
      </c>
      <c r="B6" s="2574">
        <f ca="1">IF(F6="是",'数据-取费表'!AO6,0)</f>
        <v>68752</v>
      </c>
      <c r="C6" s="2565" t="s">
        <v>2512</v>
      </c>
      <c r="D6" s="2568"/>
      <c r="E6" s="2576">
        <f>IF(OR(A6=0,F6="否"),0,'数据-取费表'!K6+'数据-取费表'!S6)</f>
        <v>193040.62000000002</v>
      </c>
      <c r="F6" s="2577" t="s">
        <v>2518</v>
      </c>
    </row>
    <row r="7" spans="1:6">
      <c r="A7" s="2575">
        <f>'数据-取费表'!AN7</f>
        <v>0</v>
      </c>
      <c r="B7" s="2574" t="e">
        <f ca="1">IF(F7="是",'数据-取费表'!AO7,0)</f>
        <v>#REF!</v>
      </c>
      <c r="C7" s="2565" t="s">
        <v>2512</v>
      </c>
      <c r="D7" s="2568"/>
      <c r="E7" s="2576">
        <f>IF(OR(A7=0,F7="否"),0,'数据-取费表'!K7+'数据-取费表'!S7)</f>
        <v>0</v>
      </c>
      <c r="F7" s="2577" t="s">
        <v>2518</v>
      </c>
    </row>
    <row r="8" spans="1:6">
      <c r="A8" s="2575">
        <f>'数据-取费表'!AN8</f>
        <v>0</v>
      </c>
      <c r="B8" s="2574" t="e">
        <f ca="1">IF(F8="是",'数据-取费表'!AO8,0)</f>
        <v>#REF!</v>
      </c>
      <c r="C8" s="2565" t="s">
        <v>2512</v>
      </c>
      <c r="D8" s="2568"/>
      <c r="E8" s="2576">
        <f>IF(OR(A8=0,F8="否"),0,'数据-取费表'!K8+'数据-取费表'!S8)</f>
        <v>0</v>
      </c>
      <c r="F8" s="2577" t="s">
        <v>2518</v>
      </c>
    </row>
    <row r="9" spans="1:6">
      <c r="A9" s="2575">
        <f>'数据-取费表'!AN9</f>
        <v>0</v>
      </c>
      <c r="B9" s="2574" t="e">
        <f ca="1">IF(F9="是",'数据-取费表'!AO9,0)</f>
        <v>#REF!</v>
      </c>
      <c r="C9" s="2565" t="s">
        <v>2512</v>
      </c>
      <c r="D9" s="2568"/>
      <c r="E9" s="2576">
        <f>IF(OR(A9=0,F9="否"),0,'数据-取费表'!K9+'数据-取费表'!S9)</f>
        <v>0</v>
      </c>
      <c r="F9" s="2577" t="s">
        <v>2518</v>
      </c>
    </row>
    <row r="10" spans="1:6">
      <c r="A10" s="2575">
        <f>'数据-取费表'!AN10</f>
        <v>0</v>
      </c>
      <c r="B10" s="2574" t="e">
        <f ca="1">IF(F10="是",'数据-取费表'!AO10,0)</f>
        <v>#REF!</v>
      </c>
      <c r="C10" s="2565" t="s">
        <v>2512</v>
      </c>
      <c r="D10" s="2568"/>
      <c r="E10" s="2576">
        <f>IF(OR(A10=0,F10="否"),0,'数据-取费表'!K10+'数据-取费表'!S10)</f>
        <v>0</v>
      </c>
      <c r="F10" s="2577" t="s">
        <v>2518</v>
      </c>
    </row>
    <row r="11" spans="1:6">
      <c r="A11" s="2575">
        <f>'数据-取费表'!AN11</f>
        <v>0</v>
      </c>
      <c r="B11" s="2574" t="e">
        <f ca="1">IF(F11="是",'数据-取费表'!AO11,0)</f>
        <v>#REF!</v>
      </c>
      <c r="C11" s="2565" t="s">
        <v>2512</v>
      </c>
      <c r="D11" s="2568"/>
      <c r="E11" s="2576">
        <f>IF(OR(A11=0,F11="否"),0,'数据-取费表'!K11+'数据-取费表'!S11)</f>
        <v>0</v>
      </c>
      <c r="F11" s="2577" t="s">
        <v>2518</v>
      </c>
    </row>
    <row r="12" spans="1:6">
      <c r="A12" s="2575">
        <f>'数据-取费表'!AN12</f>
        <v>0</v>
      </c>
      <c r="B12" s="2574" t="e">
        <f ca="1">IF(F12="是",'数据-取费表'!AO12,0)</f>
        <v>#REF!</v>
      </c>
      <c r="C12" s="2565" t="s">
        <v>2512</v>
      </c>
      <c r="D12" s="2568"/>
      <c r="E12" s="2576">
        <f>IF(OR(A12=0,F12="否"),0,'数据-取费表'!K12+'数据-取费表'!S12)</f>
        <v>0</v>
      </c>
      <c r="F12" s="2577" t="s">
        <v>2518</v>
      </c>
    </row>
    <row r="13" spans="1:6" ht="15" thickBot="1">
      <c r="A13" s="2578">
        <f>'数据-取费表'!AN13</f>
        <v>0</v>
      </c>
      <c r="B13" s="2574" t="e">
        <f ca="1">IF(F13="是",'数据-取费表'!AO13,0)</f>
        <v>#REF!</v>
      </c>
      <c r="C13" s="2579" t="s">
        <v>2512</v>
      </c>
      <c r="D13" s="2580"/>
      <c r="E13" s="2576">
        <f>IF(OR(A13=0,F13="否"),0,'数据-取费表'!K13+'数据-取费表'!S13)</f>
        <v>0</v>
      </c>
      <c r="F13" s="2577" t="s">
        <v>2518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SheetLayoutView="90" workbookViewId="0">
      <selection activeCell="E25" sqref="E2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t="s">
        <v>3297</v>
      </c>
      <c r="D1" s="1820" t="s">
        <v>70</v>
      </c>
      <c r="E1" s="1821" t="s">
        <v>1383</v>
      </c>
      <c r="F1" s="1283" t="e">
        <f ca="1">J53</f>
        <v>#N/A</v>
      </c>
      <c r="G1" s="1836"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1511</v>
      </c>
      <c r="B2" s="1844" t="e">
        <f ca="1">C40+J29+L46</f>
        <v>#N/A</v>
      </c>
      <c r="C2" s="1845" t="s">
        <v>1512</v>
      </c>
      <c r="D2" s="1845"/>
      <c r="E2" s="1846"/>
      <c r="F2" s="1847"/>
      <c r="G2" s="1848"/>
      <c r="H2" s="1840"/>
      <c r="I2" s="1840"/>
      <c r="J2" s="1840"/>
      <c r="K2" s="1841"/>
      <c r="L2" s="1840"/>
      <c r="M2" s="1840"/>
    </row>
    <row r="3" spans="1:37" ht="18" customHeight="1" thickBot="1">
      <c r="A3" s="1849" t="s">
        <v>1513</v>
      </c>
      <c r="B3" s="1850">
        <f ca="1">IF(ISERROR(B2*10000/F43),0,ROUND(B2*10000/F43,0))</f>
        <v>0</v>
      </c>
      <c r="C3" s="1845" t="s">
        <v>1514</v>
      </c>
      <c r="D3" s="1845"/>
      <c r="E3" s="1846"/>
      <c r="F3" s="1847"/>
      <c r="G3" s="1848"/>
      <c r="H3" s="744" t="s">
        <v>1584</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2" t="e">
        <f ca="1">C6+C10+C12</f>
        <v>#N/A</v>
      </c>
      <c r="D5" s="1822" t="s">
        <v>1398</v>
      </c>
      <c r="E5" s="1293"/>
      <c r="F5" s="1294"/>
      <c r="G5" s="1851"/>
      <c r="H5" s="344">
        <v>1</v>
      </c>
      <c r="I5" s="345" t="s">
        <v>1397</v>
      </c>
      <c r="J5" s="1292" t="e">
        <f ca="1">J6+J10+J12</f>
        <v>#N/A</v>
      </c>
      <c r="K5" s="1822" t="s">
        <v>1398</v>
      </c>
      <c r="L5" s="1293"/>
      <c r="M5" s="1294"/>
    </row>
    <row r="6" spans="1:37" ht="18" customHeight="1">
      <c r="A6" s="1291" t="s">
        <v>1032</v>
      </c>
      <c r="B6" s="3395" t="s">
        <v>1399</v>
      </c>
      <c r="C6" s="1296" t="e">
        <f ca="1">ROUND(F6*F8*F7*(1-F9)/10000,0)</f>
        <v>#N/A</v>
      </c>
      <c r="D6" s="164" t="s">
        <v>3026</v>
      </c>
      <c r="E6" s="347" t="s">
        <v>1401</v>
      </c>
      <c r="F6" s="348" t="e">
        <f ca="1">INDIRECT("'数据-取费表'!u"&amp;$G$1)</f>
        <v>#N/A</v>
      </c>
      <c r="G6" s="1851"/>
      <c r="H6" s="1291" t="s">
        <v>1032</v>
      </c>
      <c r="I6" s="3395" t="s">
        <v>1399</v>
      </c>
      <c r="J6" s="346" t="e">
        <f ca="1">ROUND(M6*M8*M7*(1-M9)/10000,0)</f>
        <v>#N/A</v>
      </c>
      <c r="K6" s="164" t="s">
        <v>3025</v>
      </c>
      <c r="L6" s="347" t="s">
        <v>1401</v>
      </c>
      <c r="M6" s="348" t="e">
        <f ca="1">INDIRECT("'数据-取费表'!z"&amp;$G$1)</f>
        <v>#N/A</v>
      </c>
    </row>
    <row r="7" spans="1:37" ht="18" customHeight="1">
      <c r="A7" s="1295"/>
      <c r="B7" s="3396"/>
      <c r="C7" s="1297"/>
      <c r="D7" s="352"/>
      <c r="E7" s="2942" t="s">
        <v>1402</v>
      </c>
      <c r="F7" s="348" t="e">
        <f ca="1">IF(INDIRECT("'数据-取费表'!ah"&amp;$G$1)="",INDIRECT("'数据-取费表'!k"&amp;$G$1),INDIRECT("'数据-取费表'!ah"&amp;$G$1))</f>
        <v>#N/A</v>
      </c>
      <c r="G7" s="1851"/>
      <c r="H7" s="349"/>
      <c r="I7" s="3396"/>
      <c r="J7" s="351"/>
      <c r="K7" s="352"/>
      <c r="L7" s="347" t="s">
        <v>1402</v>
      </c>
      <c r="M7" s="348" t="e">
        <f ca="1">F7</f>
        <v>#N/A</v>
      </c>
    </row>
    <row r="8" spans="1:37" ht="18" customHeight="1">
      <c r="A8" s="349"/>
      <c r="B8" s="3396"/>
      <c r="C8" s="351"/>
      <c r="D8" s="352"/>
      <c r="E8" s="347" t="s">
        <v>1403</v>
      </c>
      <c r="F8" s="348" t="e">
        <f ca="1">INDIRECT("'数据-取费表'!ai"&amp;$G$1)</f>
        <v>#N/A</v>
      </c>
      <c r="G8" s="1851"/>
      <c r="H8" s="349"/>
      <c r="I8" s="3396"/>
      <c r="J8" s="351"/>
      <c r="K8" s="352"/>
      <c r="L8" s="347" t="s">
        <v>1403</v>
      </c>
      <c r="M8" s="348" t="e">
        <f ca="1">INDIRECT("'数据-取费表'!ai"&amp;$G$1)</f>
        <v>#N/A</v>
      </c>
    </row>
    <row r="9" spans="1:37" ht="18" customHeight="1">
      <c r="A9" s="349"/>
      <c r="B9" s="3397"/>
      <c r="C9" s="351"/>
      <c r="D9" s="352"/>
      <c r="E9" s="347" t="s">
        <v>1404</v>
      </c>
      <c r="F9" s="357" t="e">
        <f ca="1">INDIRECT("'数据-取费表'!w"&amp;$G$1)</f>
        <v>#N/A</v>
      </c>
      <c r="G9" s="1851"/>
      <c r="H9" s="349"/>
      <c r="I9" s="3397"/>
      <c r="J9" s="351"/>
      <c r="K9" s="352"/>
      <c r="L9" s="358" t="s">
        <v>1404</v>
      </c>
      <c r="M9" s="359" t="e">
        <f ca="1">INDIRECT("'数据-取费表'!ab"&amp;$G$1)</f>
        <v>#N/A</v>
      </c>
    </row>
    <row r="10" spans="1:37" ht="18" customHeight="1">
      <c r="A10" s="1291" t="s">
        <v>1036</v>
      </c>
      <c r="B10" s="1823" t="s">
        <v>1405</v>
      </c>
      <c r="C10" s="361">
        <f ca="1">ROUND(IF(F10="押一",C6/12*F11,IF(F10="押二",C6/12*2*F11,IF(F10="押三",C6/12*3*F11,C11*F11))),0)</f>
        <v>0</v>
      </c>
      <c r="D10" s="1824" t="s">
        <v>3034</v>
      </c>
      <c r="E10" s="358" t="s">
        <v>1406</v>
      </c>
      <c r="F10" s="1366"/>
      <c r="G10" s="1851"/>
      <c r="H10" s="1291" t="s">
        <v>1036</v>
      </c>
      <c r="I10" s="1823" t="s">
        <v>1405</v>
      </c>
      <c r="J10" s="346" t="e">
        <f ca="1">ROUND(IF(M10="押一",J6/12*M11,IF(M10="押二",J6/12*2*M11,IF(M10="押三",J6/12*3*M11,J11*M11))),0)</f>
        <v>#N/A</v>
      </c>
      <c r="K10" s="1824" t="s">
        <v>3034</v>
      </c>
      <c r="L10" s="358" t="s">
        <v>1406</v>
      </c>
      <c r="M10" s="1366" t="s">
        <v>1407</v>
      </c>
    </row>
    <row r="11" spans="1:37" ht="18" customHeight="1">
      <c r="A11" s="353"/>
      <c r="B11" s="1825" t="s">
        <v>1384</v>
      </c>
      <c r="C11" s="1178"/>
      <c r="D11" s="1826"/>
      <c r="E11" s="358" t="s">
        <v>1408</v>
      </c>
      <c r="F11" s="359">
        <f ca="1">'数据-取费表'!B39</f>
        <v>1.4999999999999999E-2</v>
      </c>
      <c r="G11" s="1851"/>
      <c r="H11" s="1299"/>
      <c r="I11" s="1825" t="s">
        <v>1384</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t="e">
        <f ca="1">ROUND(C29*F13,0)</f>
        <v>#N/A</v>
      </c>
      <c r="D13" s="1331" t="s">
        <v>1411</v>
      </c>
      <c r="E13" s="1331" t="s">
        <v>1412</v>
      </c>
      <c r="F13" s="1332" t="e">
        <f ca="1">INDIRECT("'数据-取费表'!y"&amp;$G$1)</f>
        <v>#N/A</v>
      </c>
      <c r="G13" s="1851"/>
      <c r="H13" s="1329">
        <v>2</v>
      </c>
      <c r="I13" s="1330" t="s">
        <v>1410</v>
      </c>
      <c r="J13" s="1290" t="e">
        <f ca="1">ROUND(J14*J15,0)</f>
        <v>#N/A</v>
      </c>
      <c r="K13" s="1337" t="s">
        <v>1411</v>
      </c>
      <c r="L13" s="1852"/>
      <c r="M13" s="1853"/>
    </row>
    <row r="14" spans="1:37" ht="18" customHeight="1">
      <c r="A14" s="1201" t="s">
        <v>1031</v>
      </c>
      <c r="B14" s="347" t="s">
        <v>1413</v>
      </c>
      <c r="C14" s="363" t="e">
        <f ca="1">INDIRECT("'数据-取费表'!m"&amp;$G$1)+INDIRECT("'数据-取费表'!t"&amp;$G$1)</f>
        <v>#N/A</v>
      </c>
      <c r="D14" s="2945" t="s">
        <v>1414</v>
      </c>
      <c r="E14" s="2944"/>
      <c r="F14" s="364"/>
      <c r="G14" s="1851"/>
      <c r="H14" s="1201" t="s">
        <v>1032</v>
      </c>
      <c r="I14" s="347" t="s">
        <v>1415</v>
      </c>
      <c r="J14" s="24" t="e">
        <f ca="1">C29</f>
        <v>#N/A</v>
      </c>
      <c r="K14" s="2941"/>
      <c r="L14" s="979"/>
      <c r="M14" s="980"/>
    </row>
    <row r="15" spans="1:37" s="1858" customFormat="1" ht="18" customHeight="1" thickBot="1">
      <c r="A15" s="1201" t="s">
        <v>1033</v>
      </c>
      <c r="B15" s="347" t="s">
        <v>1416</v>
      </c>
      <c r="C15" s="24" t="e">
        <f ca="1">ROUND(C14*F15,0)</f>
        <v>#N/A</v>
      </c>
      <c r="D15" s="365" t="s">
        <v>1417</v>
      </c>
      <c r="E15" s="365" t="s">
        <v>1418</v>
      </c>
      <c r="F15" s="366">
        <f>'数据-取费表'!B33</f>
        <v>0.03</v>
      </c>
      <c r="G15" s="1854"/>
      <c r="H15" s="1339" t="s">
        <v>1036</v>
      </c>
      <c r="I15" s="1340" t="s">
        <v>1412</v>
      </c>
      <c r="J15" s="1349" t="e">
        <f ca="1">INDIRECT("'数据-取费表'!ad"&amp;$G$1)</f>
        <v>#N/A</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t="e">
        <f ca="1">ROUND(INDIRECT("'数据-取费表'!m"&amp;$G$1)*F16,0)</f>
        <v>#N/A</v>
      </c>
      <c r="D16" s="347" t="s">
        <v>1417</v>
      </c>
      <c r="E16" s="347" t="s">
        <v>1418</v>
      </c>
      <c r="F16" s="367" t="e">
        <f ca="1">IF(INDIRECT("'数据-取费表'!c"&amp;$G$1)="住宅",'数据-取费表'!B34,0)</f>
        <v>#N/A</v>
      </c>
      <c r="G16" s="1851"/>
      <c r="H16" s="1329" t="s">
        <v>1027</v>
      </c>
      <c r="I16" s="1330" t="s">
        <v>1420</v>
      </c>
      <c r="J16" s="355" t="e">
        <f ca="1">ROUND(J17+J22+J23+J24,0)</f>
        <v>#N/A</v>
      </c>
      <c r="K16" s="1337" t="s">
        <v>1421</v>
      </c>
      <c r="L16" s="2947"/>
      <c r="M16" s="1294"/>
    </row>
    <row r="17" spans="1:37" s="1858" customFormat="1" ht="18" customHeight="1">
      <c r="A17" s="1201" t="s">
        <v>1386</v>
      </c>
      <c r="B17" s="347" t="s">
        <v>1422</v>
      </c>
      <c r="C17" s="24" t="e">
        <f ca="1">ROUND(F17*(F43+INDIRECT("'数据-取费表'!S"&amp;$G$1))/10000,0)</f>
        <v>#N/A</v>
      </c>
      <c r="D17" s="347" t="s">
        <v>1423</v>
      </c>
      <c r="E17" s="347" t="s">
        <v>1424</v>
      </c>
      <c r="F17" s="26">
        <f>'数据-取费表'!B35</f>
        <v>200</v>
      </c>
      <c r="G17" s="1854"/>
      <c r="H17" s="1201" t="s">
        <v>1032</v>
      </c>
      <c r="I17" s="347" t="s">
        <v>1425</v>
      </c>
      <c r="J17" s="24" t="e">
        <f ca="1">ROUND(IF(项目基本情况!B11="自然人",J5*M17,J18+J19+J20),1)</f>
        <v>#N/A</v>
      </c>
      <c r="K17" s="2945" t="s">
        <v>1426</v>
      </c>
      <c r="L17" s="2946"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t="e">
        <f ca="1">ROUND(C14*F18,0)</f>
        <v>#N/A</v>
      </c>
      <c r="D18" s="347" t="s">
        <v>1417</v>
      </c>
      <c r="E18" s="347" t="s">
        <v>1418</v>
      </c>
      <c r="F18" s="367">
        <f>'数据-取费表'!B36</f>
        <v>1.4999999999999999E-2</v>
      </c>
      <c r="G18" s="1854"/>
      <c r="H18" s="1201" t="s">
        <v>1031</v>
      </c>
      <c r="I18" s="347" t="s">
        <v>1429</v>
      </c>
      <c r="J18" s="24" t="e">
        <f ca="1">ROUND(J5*M18/(1+'数据-取费表'!C42),2)</f>
        <v>#N/A</v>
      </c>
      <c r="K18" s="2946" t="s">
        <v>1430</v>
      </c>
      <c r="L18" s="347" t="s">
        <v>1418</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t="e">
        <f ca="1">SUM(C14:C18)</f>
        <v>#N/A</v>
      </c>
      <c r="D19" s="140" t="s">
        <v>1432</v>
      </c>
      <c r="E19" s="2940"/>
      <c r="F19" s="26"/>
      <c r="G19" s="1851"/>
      <c r="H19" s="1201" t="s">
        <v>1033</v>
      </c>
      <c r="I19" s="347" t="s">
        <v>1433</v>
      </c>
      <c r="J19" s="24" t="e">
        <f ca="1">IF(K19="按租金收入计税",ROUND(J5*M19,2),ROUND(C29*M19*0.7,2))</f>
        <v>#N/A</v>
      </c>
      <c r="K19" s="1828" t="s">
        <v>1434</v>
      </c>
      <c r="L19" s="347" t="s">
        <v>1418</v>
      </c>
      <c r="M19" s="367">
        <f>IF(K19="按租金收入计税",'数据-取费表'!B51,'数据-取费表'!B50)</f>
        <v>1.2E-2</v>
      </c>
    </row>
    <row r="20" spans="1:37" s="1858" customFormat="1" ht="18" customHeight="1">
      <c r="A20" s="1201" t="s">
        <v>1036</v>
      </c>
      <c r="B20" s="347" t="s">
        <v>1435</v>
      </c>
      <c r="C20" s="24" t="e">
        <f ca="1">ROUND(C19*F20,0)</f>
        <v>#N/A</v>
      </c>
      <c r="D20" s="369" t="s">
        <v>1436</v>
      </c>
      <c r="E20" s="347" t="s">
        <v>1418</v>
      </c>
      <c r="F20" s="367">
        <f>'数据-取费表'!B37</f>
        <v>0.02</v>
      </c>
      <c r="G20" s="1854"/>
      <c r="H20" s="1201" t="s">
        <v>1385</v>
      </c>
      <c r="I20" s="164" t="s">
        <v>1437</v>
      </c>
      <c r="J20" s="25" t="e">
        <f ca="1">ROUND(M20*M21/10000,2)</f>
        <v>#N/A</v>
      </c>
      <c r="K20" s="370" t="s">
        <v>1438</v>
      </c>
      <c r="L20" s="347" t="s">
        <v>1439</v>
      </c>
      <c r="M20" s="371">
        <f>'数据-取费表'!B52</f>
        <v>2</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18</v>
      </c>
      <c r="D21" s="369" t="s">
        <v>1441</v>
      </c>
      <c r="E21" s="347" t="s">
        <v>1442</v>
      </c>
      <c r="F21" s="367">
        <f>'数据-取费表'!B38</f>
        <v>0.03</v>
      </c>
      <c r="G21" s="1854"/>
      <c r="H21" s="372"/>
      <c r="I21" s="356"/>
      <c r="J21" s="29"/>
      <c r="K21" s="373"/>
      <c r="L21" s="347" t="s">
        <v>1443</v>
      </c>
      <c r="M21" s="348" t="e">
        <f ca="1">INDIRECT("'数据-取费表'!r"&amp;$G$1)</f>
        <v>#N/A</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2940"/>
      <c r="F22" s="26"/>
      <c r="G22" s="1851"/>
      <c r="H22" s="1201" t="s">
        <v>1036</v>
      </c>
      <c r="I22" s="347" t="s">
        <v>1445</v>
      </c>
      <c r="J22" s="24" t="e">
        <f ca="1">ROUND(J14*M22,1)</f>
        <v>#N/A</v>
      </c>
      <c r="K22" s="2946" t="s">
        <v>1446</v>
      </c>
      <c r="L22" s="347" t="s">
        <v>1418</v>
      </c>
      <c r="M22" s="374" t="e">
        <f ca="1">INDIRECT("'数据-取费表'!Ak"&amp;$G$1)</f>
        <v>#N/A</v>
      </c>
    </row>
    <row r="23" spans="1:37" s="1858" customFormat="1" ht="18" customHeight="1">
      <c r="A23" s="1201" t="s">
        <v>1031</v>
      </c>
      <c r="B23" s="347" t="s">
        <v>1447</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1448</v>
      </c>
      <c r="F23" s="371">
        <f>'数据-取费表'!B20</f>
        <v>1.5</v>
      </c>
      <c r="G23" s="1854"/>
      <c r="H23" s="1201" t="s">
        <v>1072</v>
      </c>
      <c r="I23" s="347" t="s">
        <v>1449</v>
      </c>
      <c r="J23" s="24" t="e">
        <f ca="1">ROUND(J13*M23,1)</f>
        <v>#N/A</v>
      </c>
      <c r="K23" s="2946" t="s">
        <v>1450</v>
      </c>
      <c r="L23" s="347" t="s">
        <v>1451</v>
      </c>
      <c r="M23" s="376" t="e">
        <f ca="1">INDIRECT("'数据-取费表'!Al"&amp;$G$1)</f>
        <v>#N/A</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1.1000000000000001E-3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t="e">
        <f ca="1">ROUND(J5*M24,1)</f>
        <v>#N/A</v>
      </c>
      <c r="K24" s="1342" t="s">
        <v>1455</v>
      </c>
      <c r="L24" s="1340" t="s">
        <v>1451</v>
      </c>
      <c r="M24" s="1336" t="e">
        <f ca="1">INDIRECT("'数据-取费表'!Am"&amp;$G$1)</f>
        <v>#N/A</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7" t="s">
        <v>1457</v>
      </c>
      <c r="C25" s="24"/>
      <c r="D25" s="140" t="s">
        <v>1458</v>
      </c>
      <c r="E25" s="2940"/>
      <c r="F25" s="26"/>
      <c r="G25" s="1851"/>
      <c r="H25" s="1329" t="s">
        <v>1028</v>
      </c>
      <c r="I25" s="1344" t="s">
        <v>1459</v>
      </c>
      <c r="J25" s="355" t="e">
        <f ca="1">J5-J16</f>
        <v>#N/A</v>
      </c>
      <c r="K25" s="1345" t="s">
        <v>1460</v>
      </c>
      <c r="L25" s="1346"/>
      <c r="M25" s="1347"/>
    </row>
    <row r="26" spans="1:37">
      <c r="A26" s="1201" t="s">
        <v>1031</v>
      </c>
      <c r="B26" s="347" t="s">
        <v>1461</v>
      </c>
      <c r="C26" s="24" t="e">
        <f ca="1">ROUND((C19+C20)*F26,0)</f>
        <v>#N/A</v>
      </c>
      <c r="D26" s="369" t="s">
        <v>1462</v>
      </c>
      <c r="E26" s="358" t="s">
        <v>1463</v>
      </c>
      <c r="F26" s="357" t="e">
        <f ca="1">INDIRECT("'数据-取费表'!q"&amp;$G$1)</f>
        <v>#N/A</v>
      </c>
      <c r="G26" s="1851"/>
      <c r="H26" s="344" t="s">
        <v>1029</v>
      </c>
      <c r="I26" s="345" t="s">
        <v>1464</v>
      </c>
      <c r="J26" s="346" t="e">
        <f ca="1">IF(J5&lt;&gt;0,ROUND(J25*(1-((1+M28)/(1+M26))^M27)/(M26-M28),0),0)</f>
        <v>#N/A</v>
      </c>
      <c r="K26" s="370" t="s">
        <v>1465</v>
      </c>
      <c r="L26" s="347" t="s">
        <v>1466</v>
      </c>
      <c r="M26" s="357" t="e">
        <f ca="1">INDIRECT("'数据-取费表'!I"&amp;$G$1)</f>
        <v>#N/A</v>
      </c>
    </row>
    <row r="27" spans="1:37" ht="18" customHeight="1">
      <c r="A27" s="1201" t="s">
        <v>1033</v>
      </c>
      <c r="B27" s="347" t="s">
        <v>1467</v>
      </c>
      <c r="C27" s="24" t="e">
        <f ca="1">ROUND(F21*F26,4)</f>
        <v>#N/A</v>
      </c>
      <c r="D27" s="369" t="s">
        <v>1468</v>
      </c>
      <c r="E27" s="365"/>
      <c r="F27" s="366"/>
      <c r="G27" s="1851"/>
      <c r="H27" s="349"/>
      <c r="I27" s="350"/>
      <c r="J27" s="351"/>
      <c r="K27" s="378" t="s">
        <v>1469</v>
      </c>
      <c r="L27" s="347" t="s">
        <v>1470</v>
      </c>
      <c r="M27" s="379" t="e">
        <f ca="1">INDIRECT("'数据-取费表'!ag"&amp;$G$1)</f>
        <v>#N/A</v>
      </c>
    </row>
    <row r="28" spans="1:37" s="1858" customFormat="1" ht="18" customHeight="1">
      <c r="A28" s="1201" t="s">
        <v>1034</v>
      </c>
      <c r="B28" s="347" t="s">
        <v>1471</v>
      </c>
      <c r="C28" s="24">
        <f>ROUND(F28/(1+'数据-取费表'!C42),4)</f>
        <v>5.33E-2</v>
      </c>
      <c r="D28" s="369" t="s">
        <v>1472</v>
      </c>
      <c r="E28" s="347" t="s">
        <v>1418</v>
      </c>
      <c r="F28" s="367">
        <f>'数据-取费表'!B41</f>
        <v>5.6000000000000001E-2</v>
      </c>
      <c r="G28" s="1854"/>
      <c r="H28" s="353"/>
      <c r="I28" s="354"/>
      <c r="J28" s="355"/>
      <c r="K28" s="373"/>
      <c r="L28" s="347" t="s">
        <v>1473</v>
      </c>
      <c r="M28" s="357" t="e">
        <f ca="1">INDIRECT("'数据-取费表'!aa"&amp;$G$1)</f>
        <v>#N/A</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t="e">
        <f ca="1">ROUND((C19+C20+C23+C26)/(1-F21-C24-C27-C28),0)</f>
        <v>#N/A</v>
      </c>
      <c r="D29" s="1342"/>
      <c r="E29" s="1340"/>
      <c r="F29" s="1343"/>
      <c r="G29" s="1854"/>
      <c r="H29" s="380" t="s">
        <v>1030</v>
      </c>
      <c r="I29" s="381" t="s">
        <v>1475</v>
      </c>
      <c r="J29" s="382" t="e">
        <f ca="1">ROUND(J26/(1+F40)^F41,0)</f>
        <v>#N/A</v>
      </c>
      <c r="K29" s="383" t="s">
        <v>1476</v>
      </c>
      <c r="L29" s="384"/>
      <c r="M29" s="385" t="e">
        <f ca="1">INDIRECT("'数据-取费表'!k"&amp;$G$1)</f>
        <v>#N/A</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t="e">
        <f ca="1">ROUND(C31+C36+C37+C38,0)</f>
        <v>#N/A</v>
      </c>
      <c r="D30" s="1337" t="s">
        <v>1421</v>
      </c>
      <c r="E30" s="2947"/>
      <c r="F30" s="1294"/>
      <c r="G30" s="1851"/>
      <c r="H30" s="745"/>
      <c r="I30" s="746"/>
      <c r="J30" s="747"/>
      <c r="K30" s="748"/>
      <c r="L30" s="749"/>
      <c r="M30" s="750"/>
    </row>
    <row r="31" spans="1:37" ht="18" customHeight="1">
      <c r="A31" s="1201" t="s">
        <v>1032</v>
      </c>
      <c r="B31" s="347" t="s">
        <v>1425</v>
      </c>
      <c r="C31" s="24" t="e">
        <f ca="1">ROUND(IF(项目基本情况!B11="自然人",C5*F31,C32+C33+C34),1)</f>
        <v>#N/A</v>
      </c>
      <c r="D31" s="2945" t="s">
        <v>1426</v>
      </c>
      <c r="E31" s="2946"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t="e">
        <f ca="1">IF(项目基本情况!B11="自然人","——",ROUND(C5*F32/(1+'数据-取费表'!C42),2))</f>
        <v>#N/A</v>
      </c>
      <c r="D32" s="2946" t="s">
        <v>1430</v>
      </c>
      <c r="E32" s="347" t="s">
        <v>1418</v>
      </c>
      <c r="F32" s="377">
        <f>'数据-取费表'!B41</f>
        <v>5.6000000000000001E-2</v>
      </c>
      <c r="G32" s="1851"/>
      <c r="H32" s="745"/>
      <c r="I32" s="746"/>
      <c r="J32" s="747"/>
      <c r="K32" s="748"/>
      <c r="L32" s="749"/>
      <c r="M32" s="750"/>
    </row>
    <row r="33" spans="1:18" ht="18" customHeight="1">
      <c r="A33" s="1201" t="s">
        <v>1033</v>
      </c>
      <c r="B33" s="347" t="s">
        <v>1433</v>
      </c>
      <c r="C33" s="24" t="e">
        <f ca="1">IF(项目基本情况!B11="自然人","——",IF(D33="按租金收入计税",ROUND(C5*F33,2),IF(D33="按房产原值计税",ROUND(C29*F33*0.7,2),INDIRECT("'数据-取费表'!Aj"&amp;$G$1))))</f>
        <v>#N/A</v>
      </c>
      <c r="D33" s="1828" t="s">
        <v>3291</v>
      </c>
      <c r="E33" s="347" t="s">
        <v>1418</v>
      </c>
      <c r="F33" s="367">
        <f>IF(D33="按票据","——",IF(D33="按租金收入计税",'数据-取费表'!B51,'数据-取费表'!B50))</f>
        <v>0.12</v>
      </c>
      <c r="G33" s="1851"/>
      <c r="H33" s="1859"/>
      <c r="I33" s="1860"/>
      <c r="J33" s="1861"/>
      <c r="K33" s="1862"/>
      <c r="L33" s="1859"/>
      <c r="M33" s="1859"/>
    </row>
    <row r="34" spans="1:18" ht="18" customHeight="1">
      <c r="A34" s="1291" t="s">
        <v>1385</v>
      </c>
      <c r="B34" s="164" t="s">
        <v>1437</v>
      </c>
      <c r="C34" s="25" t="e">
        <f ca="1">IF(项目基本情况!B11="自然人","——",ROUND(F34*F35/10000,2))</f>
        <v>#N/A</v>
      </c>
      <c r="D34" s="370" t="s">
        <v>1438</v>
      </c>
      <c r="E34" s="347" t="s">
        <v>1439</v>
      </c>
      <c r="F34" s="371">
        <f>'数据-取费表'!B52</f>
        <v>2</v>
      </c>
      <c r="G34" s="1851"/>
      <c r="H34" s="745"/>
      <c r="I34" s="1860"/>
      <c r="J34" s="1861"/>
      <c r="K34" s="1863"/>
      <c r="L34" s="1864"/>
      <c r="M34" s="1864"/>
    </row>
    <row r="35" spans="1:18" ht="18" customHeight="1">
      <c r="A35" s="1353"/>
      <c r="B35" s="1351"/>
      <c r="C35" s="29"/>
      <c r="D35" s="373"/>
      <c r="E35" s="347" t="s">
        <v>1443</v>
      </c>
      <c r="F35" s="348" t="e">
        <f ca="1">INDIRECT("'数据-取费表'!r"&amp;$G$1)</f>
        <v>#N/A</v>
      </c>
      <c r="G35" s="1851"/>
      <c r="H35" s="745"/>
      <c r="I35" s="1860"/>
      <c r="J35" s="1861"/>
      <c r="K35" s="1862"/>
      <c r="L35" s="1859"/>
      <c r="M35" s="1859"/>
    </row>
    <row r="36" spans="1:18" ht="18" customHeight="1">
      <c r="A36" s="1352" t="s">
        <v>1036</v>
      </c>
      <c r="B36" s="347" t="s">
        <v>1445</v>
      </c>
      <c r="C36" s="24" t="e">
        <f ca="1">ROUND(C29*F36,1)</f>
        <v>#N/A</v>
      </c>
      <c r="D36" s="2946" t="s">
        <v>1478</v>
      </c>
      <c r="E36" s="347" t="s">
        <v>1418</v>
      </c>
      <c r="F36" s="374" t="e">
        <f ca="1">INDIRECT("'数据-取费表'!Ak"&amp;$G$1)</f>
        <v>#N/A</v>
      </c>
      <c r="G36" s="1851"/>
      <c r="H36" s="1859"/>
      <c r="I36" s="1860"/>
      <c r="J36" s="1861"/>
      <c r="K36" s="751"/>
      <c r="L36" s="1859"/>
      <c r="M36" s="1859"/>
    </row>
    <row r="37" spans="1:18" ht="18" customHeight="1">
      <c r="A37" s="1201" t="s">
        <v>1072</v>
      </c>
      <c r="B37" s="347" t="s">
        <v>1449</v>
      </c>
      <c r="C37" s="24" t="e">
        <f ca="1">ROUND(C13*F37,1)</f>
        <v>#N/A</v>
      </c>
      <c r="D37" s="2946" t="s">
        <v>1450</v>
      </c>
      <c r="E37" s="347" t="s">
        <v>1451</v>
      </c>
      <c r="F37" s="376" t="e">
        <f ca="1">INDIRECT("'数据-取费表'!Al"&amp;$G$1)</f>
        <v>#N/A</v>
      </c>
      <c r="G37" s="1851"/>
      <c r="H37" s="1859"/>
      <c r="I37" s="1860"/>
      <c r="J37" s="1861"/>
      <c r="K37" s="751"/>
      <c r="L37" s="1859"/>
      <c r="M37" s="1859"/>
    </row>
    <row r="38" spans="1:18" ht="18" customHeight="1" thickBot="1">
      <c r="A38" s="1339" t="s">
        <v>1389</v>
      </c>
      <c r="B38" s="1340" t="s">
        <v>1435</v>
      </c>
      <c r="C38" s="1341" t="e">
        <f ca="1">ROUND(C5*F38,1)</f>
        <v>#N/A</v>
      </c>
      <c r="D38" s="1342" t="s">
        <v>1455</v>
      </c>
      <c r="E38" s="1340" t="s">
        <v>1451</v>
      </c>
      <c r="F38" s="1336" t="e">
        <f ca="1">INDIRECT("'数据-取费表'!Am"&amp;$G$1)</f>
        <v>#N/A</v>
      </c>
      <c r="G38" s="1851"/>
      <c r="H38" s="1859"/>
      <c r="I38" s="1860"/>
      <c r="J38" s="1861"/>
      <c r="K38" s="1865"/>
      <c r="L38" s="1859"/>
      <c r="M38" s="1859"/>
    </row>
    <row r="39" spans="1:18" ht="24.6" customHeight="1" thickTop="1">
      <c r="A39" s="1329" t="s">
        <v>1028</v>
      </c>
      <c r="B39" s="1344" t="s">
        <v>1459</v>
      </c>
      <c r="C39" s="355" t="e">
        <f ca="1">C5-C30</f>
        <v>#N/A</v>
      </c>
      <c r="D39" s="1345" t="s">
        <v>1480</v>
      </c>
      <c r="E39" s="1346"/>
      <c r="F39" s="1347"/>
      <c r="G39" s="1851"/>
      <c r="H39" s="1859"/>
      <c r="I39" s="1860"/>
      <c r="J39" s="1861"/>
      <c r="K39" s="1865"/>
      <c r="L39" s="1859"/>
      <c r="M39" s="1859"/>
    </row>
    <row r="40" spans="1:18" ht="18" customHeight="1">
      <c r="A40" s="344" t="s">
        <v>1029</v>
      </c>
      <c r="B40" s="345" t="s">
        <v>1481</v>
      </c>
      <c r="C40" s="346" t="e">
        <f ca="1">ROUND(C39*(1-((1+F42)/(1+F40))^F41)/(F40-F42),0)</f>
        <v>#N/A</v>
      </c>
      <c r="D40" s="370" t="s">
        <v>1465</v>
      </c>
      <c r="E40" s="347" t="s">
        <v>1466</v>
      </c>
      <c r="F40" s="357" t="e">
        <f ca="1">INDIRECT("'数据-取费表'!I"&amp;$G$1)</f>
        <v>#N/A</v>
      </c>
      <c r="G40" s="1851"/>
      <c r="H40" s="1839"/>
      <c r="I40" s="1860"/>
      <c r="J40" s="1861"/>
      <c r="K40" s="1865"/>
      <c r="L40" s="1839"/>
      <c r="M40" s="1839"/>
    </row>
    <row r="41" spans="1:18" ht="18" customHeight="1">
      <c r="A41" s="349"/>
      <c r="B41" s="350"/>
      <c r="C41" s="351"/>
      <c r="D41" s="378" t="s">
        <v>1482</v>
      </c>
      <c r="E41" s="347" t="s">
        <v>1470</v>
      </c>
      <c r="F41" s="379" t="e">
        <f ca="1">IF(INDIRECT("'数据-取费表'!af"&amp;$G$1)=0,INDIRECT("'数据-取费表'!ae"&amp;$G$1),INDIRECT("'数据-取费表'!af"&amp;$G$1))</f>
        <v>#N/A</v>
      </c>
      <c r="G41" s="1851"/>
      <c r="H41" s="732"/>
      <c r="I41" s="1860"/>
      <c r="J41" s="1861"/>
      <c r="K41" s="751"/>
      <c r="L41" s="732"/>
      <c r="M41" s="732"/>
    </row>
    <row r="42" spans="1:18" ht="18" customHeight="1">
      <c r="A42" s="353"/>
      <c r="B42" s="354"/>
      <c r="C42" s="355"/>
      <c r="D42" s="373"/>
      <c r="E42" s="347" t="s">
        <v>1473</v>
      </c>
      <c r="F42" s="357" t="e">
        <f ca="1">INDIRECT("'数据-取费表'!v"&amp;$G$1)</f>
        <v>#N/A</v>
      </c>
      <c r="G42" s="1851"/>
      <c r="H42" s="732"/>
      <c r="I42" s="1860"/>
      <c r="J42" s="1861"/>
      <c r="K42" s="751"/>
      <c r="L42" s="732"/>
      <c r="M42" s="732"/>
    </row>
    <row r="43" spans="1:18" ht="18" customHeight="1" thickBot="1">
      <c r="A43" s="380" t="s">
        <v>1030</v>
      </c>
      <c r="B43" s="381" t="s">
        <v>1483</v>
      </c>
      <c r="C43" s="382" t="e">
        <f ca="1">ROUND(C40*10000/F43,0)</f>
        <v>#N/A</v>
      </c>
      <c r="D43" s="383" t="s">
        <v>1484</v>
      </c>
      <c r="E43" s="384" t="s">
        <v>1485</v>
      </c>
      <c r="F43" s="385" t="e">
        <f ca="1">INDIRECT("'数据-取费表'!k"&amp;$G$1)</f>
        <v>#N/A</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1515</v>
      </c>
      <c r="P45" s="1839"/>
      <c r="Q45" s="1839"/>
      <c r="R45" s="1839"/>
    </row>
    <row r="46" spans="1:18" s="1842" customFormat="1" ht="13.5" thickBot="1">
      <c r="A46" s="1870" t="s">
        <v>1516</v>
      </c>
      <c r="C46" s="1871" t="e">
        <f ca="1">C68-C40</f>
        <v>#N/A</v>
      </c>
      <c r="D46" s="1872" t="str">
        <f>C2</f>
        <v>万元</v>
      </c>
      <c r="E46" s="1866"/>
      <c r="F46" s="1866"/>
      <c r="I46" s="1873" t="s">
        <v>1517</v>
      </c>
      <c r="J46" s="1874"/>
      <c r="K46" s="1875"/>
      <c r="L46" s="1876" t="e">
        <f ca="1">IF(M47="住宅",0,IF(L48&gt;J51,L60,J60))</f>
        <v>#N/A</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92"/>
      <c r="I47" s="1880" t="s">
        <v>1522</v>
      </c>
      <c r="J47" s="1881" t="s">
        <v>3298</v>
      </c>
      <c r="K47" s="1882" t="s">
        <v>1523</v>
      </c>
      <c r="L47" s="1883" t="e">
        <f ca="1">INDIRECT("'数据-取费表'!d"&amp;$G$1)</f>
        <v>#N/A</v>
      </c>
      <c r="M47" s="1838" t="str">
        <f>IF(ISNUMBER(FIND("住宅",C1)),"住宅","非住宅")</f>
        <v>非住宅</v>
      </c>
      <c r="O47" s="1884" t="s">
        <v>1037</v>
      </c>
      <c r="P47" s="1885" t="s">
        <v>1524</v>
      </c>
      <c r="Q47" s="1886" t="e">
        <f ca="1">C40+J29</f>
        <v>#N/A</v>
      </c>
      <c r="R47" s="1886" t="s">
        <v>1525</v>
      </c>
    </row>
    <row r="48" spans="1:18" s="1842" customFormat="1" ht="28.5" thickBot="1">
      <c r="A48" s="1360" t="s">
        <v>1132</v>
      </c>
      <c r="B48" s="345" t="s">
        <v>1397</v>
      </c>
      <c r="C48" s="2939" t="e">
        <f ca="1">C49+C53+C55</f>
        <v>#N/A</v>
      </c>
      <c r="D48" s="1362"/>
      <c r="E48" s="1363"/>
      <c r="F48" s="1181"/>
      <c r="G48" s="792"/>
      <c r="H48" s="793"/>
      <c r="I48" s="1887" t="s">
        <v>1526</v>
      </c>
      <c r="J48" s="1888" t="s">
        <v>3299</v>
      </c>
      <c r="K48" s="1889" t="s">
        <v>1527</v>
      </c>
      <c r="L48" s="1890" t="e">
        <f ca="1">INDIRECT("'数据-取费表'!f"&amp;$G$1)</f>
        <v>#N/A</v>
      </c>
      <c r="O48" s="1884" t="s">
        <v>1038</v>
      </c>
      <c r="P48" s="1885" t="s">
        <v>1528</v>
      </c>
      <c r="Q48" s="1886" t="e">
        <f ca="1">J60</f>
        <v>#N/A</v>
      </c>
      <c r="R48" s="1886" t="s">
        <v>1529</v>
      </c>
    </row>
    <row r="49" spans="1:18" s="1842" customFormat="1" ht="13.5" thickBot="1">
      <c r="A49" s="1194" t="s">
        <v>1133</v>
      </c>
      <c r="B49" s="1829" t="s">
        <v>1486</v>
      </c>
      <c r="C49" s="1364" t="e">
        <f ca="1">ROUND(F49*F51*F50*(1-F52)/10000,0)</f>
        <v>#N/A</v>
      </c>
      <c r="D49" s="1276" t="s">
        <v>3025</v>
      </c>
      <c r="E49" s="1830" t="s">
        <v>1487</v>
      </c>
      <c r="F49" s="1281"/>
      <c r="G49" s="1891"/>
      <c r="H49" s="793"/>
      <c r="I49" s="1887" t="s">
        <v>1530</v>
      </c>
      <c r="J49" s="1892">
        <v>1990</v>
      </c>
      <c r="K49" s="1889" t="s">
        <v>1531</v>
      </c>
      <c r="L49" s="1893"/>
      <c r="O49" s="1894" t="s">
        <v>1039</v>
      </c>
      <c r="P49" s="1885" t="s">
        <v>1532</v>
      </c>
      <c r="Q49" s="1886" t="e">
        <f ca="1">C29</f>
        <v>#N/A</v>
      </c>
      <c r="R49" s="1886" t="s">
        <v>1525</v>
      </c>
    </row>
    <row r="50" spans="1:18" s="1842" customFormat="1" ht="13.5" thickBot="1">
      <c r="A50" s="1195"/>
      <c r="B50" s="1198"/>
      <c r="C50" s="1368"/>
      <c r="D50" s="1172"/>
      <c r="E50" s="1277" t="s">
        <v>1402</v>
      </c>
      <c r="F50" s="1278" t="e">
        <f ca="1">F7</f>
        <v>#N/A</v>
      </c>
      <c r="H50" s="793"/>
      <c r="I50" s="1887" t="s">
        <v>1533</v>
      </c>
      <c r="J50" s="1895">
        <f>SUMPRODUCT((I63:I65=J47)*(J62:L62=J48)*(J63:L65))</f>
        <v>50</v>
      </c>
      <c r="K50" s="1889" t="s">
        <v>1534</v>
      </c>
      <c r="L50" s="1893"/>
      <c r="M50" s="1896"/>
      <c r="O50" s="1894" t="s">
        <v>1040</v>
      </c>
      <c r="P50" s="1885" t="s">
        <v>1535</v>
      </c>
      <c r="Q50" s="1897" t="e">
        <f ca="1">J58</f>
        <v>#N/A</v>
      </c>
      <c r="R50" s="1886"/>
    </row>
    <row r="51" spans="1:18" s="1842" customFormat="1" ht="13.5" thickBot="1">
      <c r="A51" s="1196"/>
      <c r="B51" s="1198"/>
      <c r="C51" s="1199"/>
      <c r="D51" s="1172"/>
      <c r="E51" s="1200" t="s">
        <v>1403</v>
      </c>
      <c r="F51" s="348" t="e">
        <f ca="1">F8</f>
        <v>#N/A</v>
      </c>
      <c r="I51" s="1898" t="s">
        <v>1536</v>
      </c>
      <c r="J51" s="1899">
        <f>IF(J49="",J50,J49+J50-YEAR('数据-取费表'!B2))</f>
        <v>21</v>
      </c>
      <c r="K51" s="1900" t="s">
        <v>1537</v>
      </c>
      <c r="L51" s="1901" t="e">
        <f ca="1">ROUND(-PV(INDIRECT("'数据-取费表'!h"&amp;$G$1),L48,(C39-C13*C76),0),0)</f>
        <v>#N/A</v>
      </c>
      <c r="M51" s="1902"/>
      <c r="O51" s="1894" t="s">
        <v>1041</v>
      </c>
      <c r="P51" s="1885" t="s">
        <v>1538</v>
      </c>
      <c r="Q51" s="1897">
        <f>J52</f>
        <v>0.09</v>
      </c>
      <c r="R51" s="1886"/>
    </row>
    <row r="52" spans="1:18" s="1842" customFormat="1" ht="13.5" thickBot="1">
      <c r="A52" s="1196"/>
      <c r="B52" s="1198"/>
      <c r="C52" s="1199"/>
      <c r="D52" s="1172"/>
      <c r="E52" s="1200" t="s">
        <v>1404</v>
      </c>
      <c r="F52" s="1275"/>
      <c r="I52" s="1903" t="s">
        <v>1539</v>
      </c>
      <c r="J52" s="1904">
        <v>0.09</v>
      </c>
      <c r="K52" s="1903" t="s">
        <v>1540</v>
      </c>
      <c r="L52" s="1904">
        <f>'数据-取费表'!H6</f>
        <v>4.4999999999999998E-2</v>
      </c>
      <c r="O52" s="1894" t="s">
        <v>1042</v>
      </c>
      <c r="P52" s="1885" t="s">
        <v>1541</v>
      </c>
      <c r="Q52" s="1886" t="e">
        <f ca="1">J53</f>
        <v>#N/A</v>
      </c>
      <c r="R52" s="1886" t="s">
        <v>1542</v>
      </c>
    </row>
    <row r="53" spans="1:18" s="1842" customFormat="1" ht="24.75" thickBot="1">
      <c r="A53" s="1405" t="s">
        <v>1134</v>
      </c>
      <c r="B53" s="1831" t="s">
        <v>1405</v>
      </c>
      <c r="C53" s="361">
        <f ca="1">ROUND(IF(F53="押一",C49/12*F11,IF(F53="押二",C49/12*2*F11,IF(F53="押三",C49/12*3*F11,C54*F11))),0)</f>
        <v>0</v>
      </c>
      <c r="D53" s="1824" t="s">
        <v>3034</v>
      </c>
      <c r="E53" s="358" t="s">
        <v>1406</v>
      </c>
      <c r="F53" s="1366"/>
      <c r="I53" s="1905" t="s">
        <v>1543</v>
      </c>
      <c r="J53" s="1906" t="e">
        <f ca="1">IF(M47="住宅",IF(D1="——",MAX(J51,L48),IF(D1="在建（套用方法）",MAX(J51,L48-'数据-取费表'!B24),MAX(J51,L48-'数据-取费表'!B20))),IF(D1="——",MIN(J51,L48),IF(D1="在建（套用方法）",MIN(J51,L48-'数据-取费表'!B24),IF(D1="土地（套用方法）",MIN(J51,L48-'数据-取费表'!B20)))))</f>
        <v>#N/A</v>
      </c>
      <c r="K53" s="3393" t="s">
        <v>1544</v>
      </c>
      <c r="L53" s="3394"/>
      <c r="O53" s="1884" t="s">
        <v>1043</v>
      </c>
      <c r="P53" s="1885" t="s">
        <v>1545</v>
      </c>
      <c r="Q53" s="1886" t="e">
        <f ca="1">Q47+Q48</f>
        <v>#N/A</v>
      </c>
      <c r="R53" s="1886" t="s">
        <v>1044</v>
      </c>
    </row>
    <row r="54" spans="1:18" s="1842" customFormat="1" ht="13.5" thickBot="1">
      <c r="A54" s="1406"/>
      <c r="B54" s="1825" t="s">
        <v>1384</v>
      </c>
      <c r="C54" s="1178"/>
      <c r="D54" s="1824"/>
      <c r="E54" s="2943"/>
      <c r="F54" s="1907"/>
      <c r="I54" s="190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9"/>
      <c r="K54" s="1909"/>
      <c r="L54" s="1909"/>
      <c r="M54" s="1891"/>
      <c r="O54" s="1869" t="s">
        <v>1546</v>
      </c>
      <c r="P54" s="1839"/>
      <c r="Q54" s="1839"/>
      <c r="R54" s="1839"/>
    </row>
    <row r="55" spans="1:18" s="1842" customFormat="1" ht="13.5" thickBot="1">
      <c r="A55" s="1333" t="s">
        <v>1072</v>
      </c>
      <c r="B55" s="1827" t="s">
        <v>1409</v>
      </c>
      <c r="C55" s="1334"/>
      <c r="D55" s="1824"/>
      <c r="E55" s="2943"/>
      <c r="F55" s="1907"/>
      <c r="I55" s="1910" t="s">
        <v>1547</v>
      </c>
      <c r="J55" s="1911" t="e">
        <f ca="1">ROUND(IF(J47="钢混",J57/J50,1-(1-2%)*(J50-J57)/J50),3)</f>
        <v>#N/A</v>
      </c>
      <c r="K55" s="1912" t="s">
        <v>1548</v>
      </c>
      <c r="L55" s="1913" t="s">
        <v>1549</v>
      </c>
      <c r="O55" s="1877" t="s">
        <v>1518</v>
      </c>
      <c r="P55" s="1878" t="s">
        <v>1519</v>
      </c>
      <c r="Q55" s="1879" t="s">
        <v>1520</v>
      </c>
      <c r="R55" s="1879" t="s">
        <v>1521</v>
      </c>
    </row>
    <row r="56" spans="1:18" s="1842" customFormat="1" ht="25.5" thickTop="1" thickBot="1">
      <c r="A56" s="1176">
        <v>2</v>
      </c>
      <c r="B56" s="1177" t="s">
        <v>1410</v>
      </c>
      <c r="C56" s="276" t="e">
        <f ca="1">C13</f>
        <v>#N/A</v>
      </c>
      <c r="D56" s="1914"/>
      <c r="E56" s="1915"/>
      <c r="F56" s="1907"/>
      <c r="I56" s="1916" t="s">
        <v>1550</v>
      </c>
      <c r="J56" s="1917" t="s">
        <v>3280</v>
      </c>
      <c r="K56" s="1887" t="s">
        <v>1551</v>
      </c>
      <c r="L56" s="1890" t="e">
        <f ca="1">IF(L48&lt;J51,"——",L48-J53)</f>
        <v>#N/A</v>
      </c>
      <c r="O56" s="1884" t="s">
        <v>1037</v>
      </c>
      <c r="P56" s="1885" t="s">
        <v>1524</v>
      </c>
      <c r="Q56" s="1886" t="e">
        <f ca="1">C40+J29</f>
        <v>#N/A</v>
      </c>
      <c r="R56" s="1886" t="s">
        <v>1525</v>
      </c>
    </row>
    <row r="57" spans="1:18" s="1842" customFormat="1" ht="24.75" thickBot="1">
      <c r="A57" s="1918"/>
      <c r="B57" s="1169" t="s">
        <v>1474</v>
      </c>
      <c r="C57" s="282" t="e">
        <f ca="1">C29</f>
        <v>#N/A</v>
      </c>
      <c r="D57" s="1919"/>
      <c r="E57" s="1920"/>
      <c r="F57" s="1921"/>
      <c r="I57" s="1922" t="s">
        <v>1552</v>
      </c>
      <c r="J57" s="1923" t="e">
        <f ca="1">IF(OR(M47="住宅",J51&lt;L48,J56="是"),"——",J51-L48)</f>
        <v>#N/A</v>
      </c>
      <c r="K57" s="1887" t="s">
        <v>1553</v>
      </c>
      <c r="L57" s="1890" t="e">
        <f ca="1">IF(L48&lt;J51,"——",IF(L55="比较法",L49,IF(L55="基准地价",L50,L51)))</f>
        <v>#N/A</v>
      </c>
      <c r="O57" s="1884" t="s">
        <v>1038</v>
      </c>
      <c r="P57" s="1885" t="s">
        <v>1554</v>
      </c>
      <c r="Q57" s="1886" t="e">
        <f ca="1">L60</f>
        <v>#N/A</v>
      </c>
      <c r="R57" s="1886" t="s">
        <v>1555</v>
      </c>
    </row>
    <row r="58" spans="1:18" s="1842" customFormat="1" ht="24.75" thickBot="1">
      <c r="A58" s="360" t="s">
        <v>1027</v>
      </c>
      <c r="B58" s="1177" t="s">
        <v>1420</v>
      </c>
      <c r="C58" s="361" t="e">
        <f ca="1">ROUND(C59+C64+C65+C66,0)</f>
        <v>#N/A</v>
      </c>
      <c r="D58" s="1179" t="s">
        <v>1421</v>
      </c>
      <c r="E58" s="1180"/>
      <c r="F58" s="1181"/>
      <c r="I58" s="1922" t="s">
        <v>1556</v>
      </c>
      <c r="J58" s="1924" t="e">
        <f ca="1">IF(J55&lt;0.4,0.4,J55)</f>
        <v>#N/A</v>
      </c>
      <c r="K58" s="1900" t="s">
        <v>1557</v>
      </c>
      <c r="L58" s="1890" t="e">
        <f ca="1">ROUND(POWER(1+L52,L47-L48)*(POWER(1+L52,L48)-1)/(POWER(1+L52,L47)-1),4)</f>
        <v>#N/A</v>
      </c>
      <c r="O58" s="1894" t="s">
        <v>1039</v>
      </c>
      <c r="P58" s="1885" t="s">
        <v>1558</v>
      </c>
      <c r="Q58" s="1886">
        <f>IF(L55="比较法",L49,IF(L55="基准地价",L50,0))</f>
        <v>0</v>
      </c>
      <c r="R58" s="1886" t="s">
        <v>1525</v>
      </c>
    </row>
    <row r="59" spans="1:18" s="1842" customFormat="1" ht="24.75" thickBot="1">
      <c r="A59" s="1201" t="s">
        <v>1032</v>
      </c>
      <c r="B59" s="1169" t="s">
        <v>1425</v>
      </c>
      <c r="C59" s="24" t="e">
        <f ca="1">ROUND(IF(项目基本情况!B11="自然人",C48*F59,C60+C61+C62),1)</f>
        <v>#N/A</v>
      </c>
      <c r="D59" s="1182" t="s">
        <v>1426</v>
      </c>
      <c r="E59" s="1183" t="s">
        <v>1427</v>
      </c>
      <c r="F59" s="368" t="str">
        <f ca="1">IF(项目基本情况!B11="企业","",IF(INDIRECT("'数据-取费表'!c"&amp;$G$1)="住宅",5%,IF(F49*F50*F51/12/(1+'数据-取费表'!C42)&gt;20000,12%,7%)))</f>
        <v/>
      </c>
      <c r="I59" s="1922" t="s">
        <v>1559</v>
      </c>
      <c r="J59" s="1923" t="e">
        <f ca="1">IF(OR(M47="住宅",J51&lt;L48,J56="是"),"——",ROUND(C29*J58,0))</f>
        <v>#N/A</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#N/A</v>
      </c>
      <c r="M59" s="1838" t="e">
        <f ca="1">ROUND(POWER(1+L52,L47-(J51+'数据-取费表'!B24))*(POWER(1+L52,(J51+'数据-取费表'!B24))-1)/(POWER(1+L52,L47)-1),4)</f>
        <v>#N/A</v>
      </c>
      <c r="N59" s="1838" t="e">
        <f ca="1">ROUND(POWER(1+L52,L47-(J51+'数据-取费表'!B20))*(POWER(1+L52,(J51+'数据-取费表'!B20))-1)/(POWER(1+L52,L47)-1),4)</f>
        <v>#N/A</v>
      </c>
      <c r="O59" s="1894" t="s">
        <v>1040</v>
      </c>
      <c r="P59" s="1885" t="s">
        <v>1560</v>
      </c>
      <c r="Q59" s="1897">
        <f>L52</f>
        <v>4.4999999999999998E-2</v>
      </c>
      <c r="R59" s="1886"/>
    </row>
    <row r="60" spans="1:18" s="1842" customFormat="1" ht="16.5" thickBot="1">
      <c r="A60" s="1201" t="s">
        <v>1031</v>
      </c>
      <c r="B60" s="1169" t="s">
        <v>1429</v>
      </c>
      <c r="C60" s="24" t="e">
        <f ca="1">IF(项目基本情况!B11="自然人","——",ROUND(C48*F60/(1+'数据-取费表'!C42),2))</f>
        <v>#N/A</v>
      </c>
      <c r="D60" s="1183" t="s">
        <v>1430</v>
      </c>
      <c r="E60" s="1169" t="s">
        <v>1418</v>
      </c>
      <c r="F60" s="377">
        <f t="shared" ref="F60:F66" si="0">F32</f>
        <v>5.6000000000000001E-2</v>
      </c>
      <c r="I60" s="1925" t="s">
        <v>1561</v>
      </c>
      <c r="J60" s="1926" t="e">
        <f ca="1">IF(OR(M47="住宅",J51&lt;L48,J56="是"),"0",ROUND(J59/(1+J52)^J53,0))</f>
        <v>#N/A</v>
      </c>
      <c r="K60" s="1927" t="s">
        <v>1562</v>
      </c>
      <c r="L60" s="1926" t="e">
        <f ca="1">IF(OR(M47="住宅",L48&lt;J51),0,ROUND(L57*(L58/L59-1),0))</f>
        <v>#N/A</v>
      </c>
      <c r="O60" s="1894" t="s">
        <v>1041</v>
      </c>
      <c r="P60" s="1885" t="s">
        <v>1563</v>
      </c>
      <c r="Q60" s="1886" t="e">
        <f ca="1">L58</f>
        <v>#N/A</v>
      </c>
      <c r="R60" s="1886" t="s">
        <v>1564</v>
      </c>
    </row>
    <row r="61" spans="1:18" s="1842" customFormat="1" ht="13.5" thickBot="1">
      <c r="A61" s="1201" t="s">
        <v>1488</v>
      </c>
      <c r="B61" s="1169" t="s">
        <v>1489</v>
      </c>
      <c r="C61" s="24" t="e">
        <f ca="1">IF(项目基本情况!B11="自然人","——",IF(D61="按租金收入计税",ROUND(C48*F61,2),IF(D61="按房产原值计税",ROUND(C57*F61*0.7,2),INDIRECT("'数据-取费表'!Aj"&amp;$G$1))))</f>
        <v>#N/A</v>
      </c>
      <c r="D61" s="1828" t="s">
        <v>1434</v>
      </c>
      <c r="E61" s="1169" t="s">
        <v>1490</v>
      </c>
      <c r="F61" s="367">
        <f t="shared" si="0"/>
        <v>0.12</v>
      </c>
      <c r="I61" s="1928"/>
      <c r="J61" s="1928"/>
      <c r="K61" s="1928"/>
      <c r="L61" s="1928"/>
      <c r="O61" s="1894" t="s">
        <v>1042</v>
      </c>
      <c r="P61" s="1885" t="str">
        <f>K59</f>
        <v>建筑物剩余耐用年限下的土地年期修正系数Kn</v>
      </c>
      <c r="Q61" s="1886" t="e">
        <f ca="1">L59</f>
        <v>#N/A</v>
      </c>
      <c r="R61" s="1886" t="s">
        <v>1565</v>
      </c>
    </row>
    <row r="62" spans="1:18" s="1842" customFormat="1" ht="13.5" thickBot="1">
      <c r="A62" s="1201" t="s">
        <v>1491</v>
      </c>
      <c r="B62" s="1168" t="s">
        <v>1492</v>
      </c>
      <c r="C62" s="25" t="e">
        <f ca="1">IF(项目基本情况!B11="自然人","——",ROUND(F62*F63/10000,2))</f>
        <v>#N/A</v>
      </c>
      <c r="D62" s="1184" t="s">
        <v>1493</v>
      </c>
      <c r="E62" s="1169" t="s">
        <v>1494</v>
      </c>
      <c r="F62" s="371">
        <f t="shared" si="0"/>
        <v>2</v>
      </c>
      <c r="I62" s="1929" t="s">
        <v>1566</v>
      </c>
      <c r="J62" s="1930" t="s">
        <v>1567</v>
      </c>
      <c r="K62" s="1930" t="s">
        <v>1568</v>
      </c>
      <c r="L62" s="1930" t="s">
        <v>1569</v>
      </c>
      <c r="M62" s="1931" t="s">
        <v>1570</v>
      </c>
      <c r="O62" s="1884" t="s">
        <v>1043</v>
      </c>
      <c r="P62" s="1885" t="s">
        <v>1571</v>
      </c>
      <c r="Q62" s="1886" t="e">
        <f ca="1">Q56+Q57</f>
        <v>#N/A</v>
      </c>
      <c r="R62" s="1886" t="s">
        <v>1044</v>
      </c>
    </row>
    <row r="63" spans="1:18" s="1842" customFormat="1" ht="13.5" thickBot="1">
      <c r="A63" s="372"/>
      <c r="B63" s="1175"/>
      <c r="C63" s="29"/>
      <c r="D63" s="1185"/>
      <c r="E63" s="1169" t="s">
        <v>1495</v>
      </c>
      <c r="F63" s="348" t="e">
        <f t="shared" ca="1" si="0"/>
        <v>#N/A</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t="e">
        <f ca="1">ROUND(C57*F64,1)</f>
        <v>#N/A</v>
      </c>
      <c r="D64" s="1183" t="s">
        <v>1498</v>
      </c>
      <c r="E64" s="1169" t="s">
        <v>1490</v>
      </c>
      <c r="F64" s="374" t="e">
        <f t="shared" ca="1" si="0"/>
        <v>#N/A</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t="e">
        <f ca="1">ROUND(C56*F65,1)</f>
        <v>#N/A</v>
      </c>
      <c r="D65" s="1183" t="s">
        <v>1450</v>
      </c>
      <c r="E65" s="1169" t="s">
        <v>1451</v>
      </c>
      <c r="F65" s="376" t="e">
        <f t="shared" ca="1" si="0"/>
        <v>#N/A</v>
      </c>
      <c r="I65" s="1929" t="s">
        <v>1575</v>
      </c>
      <c r="J65" s="1930">
        <v>40</v>
      </c>
      <c r="K65" s="1930">
        <v>30</v>
      </c>
      <c r="L65" s="1930">
        <v>50</v>
      </c>
      <c r="M65" s="1932">
        <v>0.02</v>
      </c>
      <c r="O65" s="1884" t="s">
        <v>1037</v>
      </c>
      <c r="P65" s="1885" t="s">
        <v>1576</v>
      </c>
      <c r="Q65" s="1886" t="e">
        <f ca="1">C40+J29</f>
        <v>#N/A</v>
      </c>
      <c r="R65" s="1886" t="s">
        <v>1525</v>
      </c>
    </row>
    <row r="66" spans="1:18" s="1842" customFormat="1" ht="16.5" thickBot="1">
      <c r="A66" s="1201" t="s">
        <v>1500</v>
      </c>
      <c r="B66" s="1169" t="s">
        <v>1435</v>
      </c>
      <c r="C66" s="24" t="e">
        <f ca="1">ROUND(C48*F66,1)</f>
        <v>#N/A</v>
      </c>
      <c r="D66" s="1183" t="s">
        <v>1501</v>
      </c>
      <c r="E66" s="1169" t="s">
        <v>1418</v>
      </c>
      <c r="F66" s="357" t="e">
        <f t="shared" ca="1" si="0"/>
        <v>#N/A</v>
      </c>
      <c r="O66" s="1884" t="s">
        <v>1038</v>
      </c>
      <c r="P66" s="1885" t="s">
        <v>1554</v>
      </c>
      <c r="Q66" s="1886" t="e">
        <f ca="1">L60</f>
        <v>#N/A</v>
      </c>
      <c r="R66" s="1886" t="s">
        <v>1577</v>
      </c>
    </row>
    <row r="67" spans="1:18" s="1842" customFormat="1" ht="16.5" thickBot="1">
      <c r="A67" s="1176" t="s">
        <v>1028</v>
      </c>
      <c r="B67" s="1186" t="s">
        <v>1459</v>
      </c>
      <c r="C67" s="361" t="e">
        <f ca="1">C48-C58</f>
        <v>#N/A</v>
      </c>
      <c r="D67" s="1182" t="s">
        <v>1460</v>
      </c>
      <c r="E67" s="1187"/>
      <c r="F67" s="1188"/>
      <c r="O67" s="1894" t="s">
        <v>1039</v>
      </c>
      <c r="P67" s="1885" t="s">
        <v>1558</v>
      </c>
      <c r="Q67" s="1933" t="e">
        <f ca="1">L51</f>
        <v>#N/A</v>
      </c>
      <c r="R67" s="1886" t="s">
        <v>1578</v>
      </c>
    </row>
    <row r="68" spans="1:18" s="1842" customFormat="1" ht="16.5" thickBot="1">
      <c r="A68" s="1166" t="s">
        <v>1029</v>
      </c>
      <c r="B68" s="1167" t="s">
        <v>1481</v>
      </c>
      <c r="C68" s="346" t="e">
        <f ca="1">ROUND(C67*(1-((1+F70)/(1+F68))^F69)/(F68-F70),0)</f>
        <v>#N/A</v>
      </c>
      <c r="D68" s="1184" t="s">
        <v>1465</v>
      </c>
      <c r="E68" s="1169" t="s">
        <v>1466</v>
      </c>
      <c r="F68" s="357" t="e">
        <f ca="1">F40</f>
        <v>#N/A</v>
      </c>
      <c r="O68" s="1894" t="s">
        <v>1040</v>
      </c>
      <c r="P68" s="1934" t="s">
        <v>1579</v>
      </c>
      <c r="Q68" s="1886" t="e">
        <f ca="1">ROUND(Q69-Q70*Q71,0)</f>
        <v>#N/A</v>
      </c>
      <c r="R68" s="1886" t="s">
        <v>1048</v>
      </c>
    </row>
    <row r="69" spans="1:18" s="1842" customFormat="1" ht="13.5" thickBot="1">
      <c r="A69" s="1170"/>
      <c r="B69" s="1171"/>
      <c r="C69" s="351"/>
      <c r="D69" s="1189" t="s">
        <v>1469</v>
      </c>
      <c r="E69" s="1169" t="s">
        <v>1470</v>
      </c>
      <c r="F69" s="379" t="e">
        <f ca="1">F41</f>
        <v>#N/A</v>
      </c>
      <c r="O69" s="1894" t="s">
        <v>1045</v>
      </c>
      <c r="P69" s="1934" t="s">
        <v>1580</v>
      </c>
      <c r="Q69" s="1886" t="e">
        <f ca="1">C39</f>
        <v>#N/A</v>
      </c>
      <c r="R69" s="1886" t="s">
        <v>1525</v>
      </c>
    </row>
    <row r="70" spans="1:18" s="1842" customFormat="1" ht="13.5" thickBot="1">
      <c r="A70" s="1173"/>
      <c r="B70" s="1174"/>
      <c r="C70" s="355"/>
      <c r="D70" s="1185"/>
      <c r="E70" s="1169" t="s">
        <v>1473</v>
      </c>
      <c r="F70" s="1275"/>
      <c r="O70" s="1894" t="s">
        <v>1046</v>
      </c>
      <c r="P70" s="1934" t="s">
        <v>1581</v>
      </c>
      <c r="Q70" s="1886" t="e">
        <f ca="1">C13</f>
        <v>#N/A</v>
      </c>
      <c r="R70" s="1886" t="s">
        <v>1525</v>
      </c>
    </row>
    <row r="71" spans="1:18" s="1842" customFormat="1" ht="13.5" thickBot="1">
      <c r="A71" s="1190" t="s">
        <v>1030</v>
      </c>
      <c r="B71" s="1191" t="s">
        <v>1483</v>
      </c>
      <c r="C71" s="382" t="e">
        <f ca="1">ROUND(C68*10000/F71,0)</f>
        <v>#N/A</v>
      </c>
      <c r="D71" s="1192" t="s">
        <v>1484</v>
      </c>
      <c r="E71" s="1193" t="s">
        <v>1485</v>
      </c>
      <c r="F71" s="385" t="e">
        <f ca="1">F43</f>
        <v>#N/A</v>
      </c>
      <c r="O71" s="1894" t="s">
        <v>1047</v>
      </c>
      <c r="P71" s="1934" t="s">
        <v>1582</v>
      </c>
      <c r="Q71" s="1897" t="e">
        <f ca="1">C76</f>
        <v>#N/A</v>
      </c>
      <c r="R71" s="1886"/>
    </row>
    <row r="72" spans="1:18" s="1842" customFormat="1" ht="13.5" thickBot="1">
      <c r="B72" s="796"/>
      <c r="C72" s="796"/>
      <c r="O72" s="1894" t="s">
        <v>1041</v>
      </c>
      <c r="P72" s="1885" t="s">
        <v>1560</v>
      </c>
      <c r="Q72" s="1897">
        <f>L52</f>
        <v>4.4999999999999998E-2</v>
      </c>
      <c r="R72" s="1886"/>
    </row>
    <row r="73" spans="1:18" ht="16.5" thickBot="1">
      <c r="A73" s="1842"/>
      <c r="B73" s="796"/>
      <c r="C73" s="796"/>
      <c r="D73" s="1842"/>
      <c r="E73" s="1842"/>
      <c r="F73" s="1842"/>
      <c r="O73" s="1894" t="s">
        <v>1042</v>
      </c>
      <c r="P73" s="1885" t="s">
        <v>1563</v>
      </c>
      <c r="Q73" s="1886" t="e">
        <f ca="1">L58</f>
        <v>#N/A</v>
      </c>
      <c r="R73" s="1886" t="s">
        <v>1564</v>
      </c>
    </row>
    <row r="74" spans="1:18" ht="13.5" thickBot="1">
      <c r="A74" s="1842"/>
      <c r="B74" s="317" t="s">
        <v>1583</v>
      </c>
      <c r="C74" s="1936"/>
      <c r="D74" s="1842"/>
      <c r="E74" s="1842"/>
      <c r="F74" s="1842"/>
      <c r="O74" s="1894" t="s">
        <v>1049</v>
      </c>
      <c r="P74" s="1885" t="str">
        <f>K59</f>
        <v>建筑物剩余耐用年限下的土地年期修正系数Kn</v>
      </c>
      <c r="Q74" s="1886" t="e">
        <f ca="1">L59</f>
        <v>#N/A</v>
      </c>
      <c r="R74" s="1886" t="s">
        <v>1565</v>
      </c>
    </row>
    <row r="75" spans="1:18" ht="13.5" thickBot="1">
      <c r="A75" s="1842"/>
      <c r="B75" s="386" t="s">
        <v>1502</v>
      </c>
      <c r="C75" s="387" t="e">
        <f ca="1">ROUND(C13*C76,0)</f>
        <v>#N/A</v>
      </c>
      <c r="D75" s="1842"/>
      <c r="E75" s="1842"/>
      <c r="F75" s="1842"/>
      <c r="K75" s="1868"/>
      <c r="L75" s="1842"/>
      <c r="O75" s="1884" t="s">
        <v>1043</v>
      </c>
      <c r="P75" s="1885" t="s">
        <v>1545</v>
      </c>
      <c r="Q75" s="1886" t="e">
        <f ca="1">Q65+Q66</f>
        <v>#N/A</v>
      </c>
      <c r="R75" s="1886" t="s">
        <v>1044</v>
      </c>
    </row>
    <row r="76" spans="1:18">
      <c r="B76" s="388" t="s">
        <v>1503</v>
      </c>
      <c r="C76" s="389" t="e">
        <f ca="1">INDIRECT("'数据-取费表'!j"&amp;$G$1)</f>
        <v>#N/A</v>
      </c>
      <c r="I76" s="1842"/>
      <c r="J76" s="1842"/>
      <c r="K76" s="1868"/>
      <c r="L76" s="1842"/>
    </row>
    <row r="77" spans="1:18">
      <c r="B77" s="390" t="s">
        <v>1504</v>
      </c>
      <c r="C77" s="391"/>
      <c r="I77" s="1842"/>
      <c r="J77" s="1842"/>
      <c r="K77" s="1868"/>
      <c r="L77" s="1842"/>
    </row>
    <row r="78" spans="1:18">
      <c r="B78" s="314" t="s">
        <v>1505</v>
      </c>
      <c r="C78" s="392"/>
    </row>
    <row r="79" spans="1:18">
      <c r="B79" s="386" t="s">
        <v>1506</v>
      </c>
      <c r="C79" s="318" t="e">
        <f ca="1">1-C80</f>
        <v>#N/A</v>
      </c>
    </row>
    <row r="80" spans="1:18">
      <c r="B80" s="386" t="s">
        <v>1507</v>
      </c>
      <c r="C80" s="318" t="e">
        <f ca="1">ROUND(C75/C39,3)</f>
        <v>#N/A</v>
      </c>
    </row>
    <row r="81" spans="2:3">
      <c r="B81" s="314" t="s">
        <v>1508</v>
      </c>
      <c r="C81" s="282"/>
    </row>
    <row r="82" spans="2:3">
      <c r="B82" s="317" t="s">
        <v>1509</v>
      </c>
      <c r="C82" s="319" t="e">
        <f ca="1">1-C83</f>
        <v>#N/A</v>
      </c>
    </row>
    <row r="83" spans="2:3">
      <c r="B83" s="317" t="s">
        <v>1510</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SheetLayoutView="90" workbookViewId="0">
      <selection activeCell="E25" sqref="E2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t="s">
        <v>3296</v>
      </c>
      <c r="D1" s="1820" t="s">
        <v>70</v>
      </c>
      <c r="E1" s="1821" t="s">
        <v>1383</v>
      </c>
      <c r="F1" s="1283" t="e">
        <f ca="1">J53</f>
        <v>#N/A</v>
      </c>
      <c r="G1" s="1836"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1511</v>
      </c>
      <c r="B2" s="1844" t="e">
        <f ca="1">C40+J29+L46</f>
        <v>#N/A</v>
      </c>
      <c r="C2" s="1845" t="s">
        <v>1512</v>
      </c>
      <c r="D2" s="1845"/>
      <c r="E2" s="1846"/>
      <c r="F2" s="1847"/>
      <c r="G2" s="1848"/>
      <c r="H2" s="1840"/>
      <c r="I2" s="1840"/>
      <c r="J2" s="1840"/>
      <c r="K2" s="1841"/>
      <c r="L2" s="1840"/>
      <c r="M2" s="1840"/>
    </row>
    <row r="3" spans="1:37" ht="18" customHeight="1" thickBot="1">
      <c r="A3" s="1849" t="s">
        <v>1513</v>
      </c>
      <c r="B3" s="1850">
        <f ca="1">IF(ISERROR(B2*10000/F43),0,ROUND(B2*10000/F43,0))</f>
        <v>0</v>
      </c>
      <c r="C3" s="1845" t="s">
        <v>1514</v>
      </c>
      <c r="D3" s="1845"/>
      <c r="E3" s="1846"/>
      <c r="F3" s="1847"/>
      <c r="G3" s="1848"/>
      <c r="H3" s="744" t="s">
        <v>1584</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2" t="e">
        <f ca="1">C6+C10+C12</f>
        <v>#N/A</v>
      </c>
      <c r="D5" s="1822" t="s">
        <v>1398</v>
      </c>
      <c r="E5" s="1293"/>
      <c r="F5" s="1294"/>
      <c r="G5" s="1851"/>
      <c r="H5" s="344">
        <v>1</v>
      </c>
      <c r="I5" s="345" t="s">
        <v>1397</v>
      </c>
      <c r="J5" s="1292" t="e">
        <f ca="1">J6+J10+J12</f>
        <v>#N/A</v>
      </c>
      <c r="K5" s="1822" t="s">
        <v>1398</v>
      </c>
      <c r="L5" s="1293"/>
      <c r="M5" s="1294"/>
    </row>
    <row r="6" spans="1:37" ht="18" customHeight="1">
      <c r="A6" s="1291" t="s">
        <v>1032</v>
      </c>
      <c r="B6" s="3395" t="s">
        <v>1399</v>
      </c>
      <c r="C6" s="1296" t="e">
        <f ca="1">ROUND(F6*F8*F7*(1-F9)/10000,0)</f>
        <v>#N/A</v>
      </c>
      <c r="D6" s="164" t="s">
        <v>3026</v>
      </c>
      <c r="E6" s="347" t="s">
        <v>1401</v>
      </c>
      <c r="F6" s="348" t="e">
        <f ca="1">INDIRECT("'数据-取费表'!u"&amp;$G$1)</f>
        <v>#N/A</v>
      </c>
      <c r="G6" s="1851"/>
      <c r="H6" s="1291" t="s">
        <v>1032</v>
      </c>
      <c r="I6" s="3395" t="s">
        <v>1399</v>
      </c>
      <c r="J6" s="346" t="e">
        <f ca="1">ROUND(M6*M8*M7*(1-M9)/10000,0)</f>
        <v>#N/A</v>
      </c>
      <c r="K6" s="164" t="s">
        <v>3025</v>
      </c>
      <c r="L6" s="347" t="s">
        <v>1401</v>
      </c>
      <c r="M6" s="348" t="e">
        <f ca="1">INDIRECT("'数据-取费表'!z"&amp;$G$1)</f>
        <v>#N/A</v>
      </c>
    </row>
    <row r="7" spans="1:37" ht="18" customHeight="1">
      <c r="A7" s="1295"/>
      <c r="B7" s="3396"/>
      <c r="C7" s="1297"/>
      <c r="D7" s="352"/>
      <c r="E7" s="2942" t="s">
        <v>1402</v>
      </c>
      <c r="F7" s="348" t="e">
        <f ca="1">IF(INDIRECT("'数据-取费表'!ah"&amp;$G$1)="",INDIRECT("'数据-取费表'!k"&amp;$G$1),INDIRECT("'数据-取费表'!ah"&amp;$G$1))</f>
        <v>#N/A</v>
      </c>
      <c r="G7" s="1851"/>
      <c r="H7" s="349"/>
      <c r="I7" s="3396"/>
      <c r="J7" s="351"/>
      <c r="K7" s="352"/>
      <c r="L7" s="347" t="s">
        <v>1402</v>
      </c>
      <c r="M7" s="348" t="e">
        <f ca="1">F7</f>
        <v>#N/A</v>
      </c>
    </row>
    <row r="8" spans="1:37" ht="18" customHeight="1">
      <c r="A8" s="349"/>
      <c r="B8" s="3396"/>
      <c r="C8" s="351"/>
      <c r="D8" s="352"/>
      <c r="E8" s="347" t="s">
        <v>1403</v>
      </c>
      <c r="F8" s="348" t="e">
        <f ca="1">INDIRECT("'数据-取费表'!ai"&amp;$G$1)</f>
        <v>#N/A</v>
      </c>
      <c r="G8" s="1851"/>
      <c r="H8" s="349"/>
      <c r="I8" s="3396"/>
      <c r="J8" s="351"/>
      <c r="K8" s="352"/>
      <c r="L8" s="347" t="s">
        <v>1403</v>
      </c>
      <c r="M8" s="348" t="e">
        <f ca="1">INDIRECT("'数据-取费表'!ai"&amp;$G$1)</f>
        <v>#N/A</v>
      </c>
    </row>
    <row r="9" spans="1:37" ht="18" customHeight="1">
      <c r="A9" s="349"/>
      <c r="B9" s="3397"/>
      <c r="C9" s="351"/>
      <c r="D9" s="352"/>
      <c r="E9" s="347" t="s">
        <v>1404</v>
      </c>
      <c r="F9" s="357" t="e">
        <f ca="1">INDIRECT("'数据-取费表'!w"&amp;$G$1)</f>
        <v>#N/A</v>
      </c>
      <c r="G9" s="1851"/>
      <c r="H9" s="349"/>
      <c r="I9" s="3397"/>
      <c r="J9" s="351"/>
      <c r="K9" s="352"/>
      <c r="L9" s="358" t="s">
        <v>1404</v>
      </c>
      <c r="M9" s="359" t="e">
        <f ca="1">INDIRECT("'数据-取费表'!ab"&amp;$G$1)</f>
        <v>#N/A</v>
      </c>
    </row>
    <row r="10" spans="1:37" ht="18" customHeight="1">
      <c r="A10" s="1291" t="s">
        <v>1036</v>
      </c>
      <c r="B10" s="1823" t="s">
        <v>1405</v>
      </c>
      <c r="C10" s="361">
        <f ca="1">ROUND(IF(F10="押一",C6/12*F11,IF(F10="押二",C6/12*2*F11,IF(F10="押三",C6/12*3*F11,C11*F11))),0)</f>
        <v>0</v>
      </c>
      <c r="D10" s="1824" t="s">
        <v>3034</v>
      </c>
      <c r="E10" s="358" t="s">
        <v>1406</v>
      </c>
      <c r="F10" s="1366"/>
      <c r="G10" s="1851"/>
      <c r="H10" s="1291" t="s">
        <v>1036</v>
      </c>
      <c r="I10" s="1823" t="s">
        <v>1405</v>
      </c>
      <c r="J10" s="346" t="e">
        <f ca="1">ROUND(IF(M10="押一",J6/12*M11,IF(M10="押二",J6/12*2*M11,IF(M10="押三",J6/12*3*M11,J11*M11))),0)</f>
        <v>#N/A</v>
      </c>
      <c r="K10" s="1824" t="s">
        <v>3034</v>
      </c>
      <c r="L10" s="358" t="s">
        <v>1406</v>
      </c>
      <c r="M10" s="1366" t="s">
        <v>1407</v>
      </c>
    </row>
    <row r="11" spans="1:37" ht="18" customHeight="1">
      <c r="A11" s="353"/>
      <c r="B11" s="1825" t="s">
        <v>1384</v>
      </c>
      <c r="C11" s="1178"/>
      <c r="D11" s="1826"/>
      <c r="E11" s="358" t="s">
        <v>1408</v>
      </c>
      <c r="F11" s="359">
        <f ca="1">'数据-取费表'!B39</f>
        <v>1.4999999999999999E-2</v>
      </c>
      <c r="G11" s="1851"/>
      <c r="H11" s="1299"/>
      <c r="I11" s="1825" t="s">
        <v>1384</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t="e">
        <f ca="1">ROUND(C29*F13,0)</f>
        <v>#N/A</v>
      </c>
      <c r="D13" s="1331" t="s">
        <v>1411</v>
      </c>
      <c r="E13" s="1331" t="s">
        <v>1412</v>
      </c>
      <c r="F13" s="1332" t="e">
        <f ca="1">INDIRECT("'数据-取费表'!y"&amp;$G$1)</f>
        <v>#N/A</v>
      </c>
      <c r="G13" s="1851"/>
      <c r="H13" s="1329">
        <v>2</v>
      </c>
      <c r="I13" s="1330" t="s">
        <v>1410</v>
      </c>
      <c r="J13" s="1290" t="e">
        <f ca="1">ROUND(J14*J15,0)</f>
        <v>#N/A</v>
      </c>
      <c r="K13" s="1337" t="s">
        <v>1411</v>
      </c>
      <c r="L13" s="1852"/>
      <c r="M13" s="1853"/>
    </row>
    <row r="14" spans="1:37" ht="18" customHeight="1">
      <c r="A14" s="1201" t="s">
        <v>1031</v>
      </c>
      <c r="B14" s="347" t="s">
        <v>1413</v>
      </c>
      <c r="C14" s="363" t="e">
        <f ca="1">INDIRECT("'数据-取费表'!m"&amp;$G$1)+INDIRECT("'数据-取费表'!t"&amp;$G$1)</f>
        <v>#N/A</v>
      </c>
      <c r="D14" s="2945" t="s">
        <v>1414</v>
      </c>
      <c r="E14" s="2944"/>
      <c r="F14" s="364"/>
      <c r="G14" s="1851"/>
      <c r="H14" s="1201" t="s">
        <v>1032</v>
      </c>
      <c r="I14" s="347" t="s">
        <v>1415</v>
      </c>
      <c r="J14" s="24" t="e">
        <f ca="1">C29</f>
        <v>#N/A</v>
      </c>
      <c r="K14" s="2941"/>
      <c r="L14" s="979"/>
      <c r="M14" s="980"/>
    </row>
    <row r="15" spans="1:37" s="1858" customFormat="1" ht="18" customHeight="1" thickBot="1">
      <c r="A15" s="1201" t="s">
        <v>1033</v>
      </c>
      <c r="B15" s="347" t="s">
        <v>1416</v>
      </c>
      <c r="C15" s="24" t="e">
        <f ca="1">ROUND(C14*F15,0)</f>
        <v>#N/A</v>
      </c>
      <c r="D15" s="365" t="s">
        <v>1417</v>
      </c>
      <c r="E15" s="365" t="s">
        <v>1418</v>
      </c>
      <c r="F15" s="366">
        <f>'数据-取费表'!B33</f>
        <v>0.03</v>
      </c>
      <c r="G15" s="1854"/>
      <c r="H15" s="1339" t="s">
        <v>1036</v>
      </c>
      <c r="I15" s="1340" t="s">
        <v>1412</v>
      </c>
      <c r="J15" s="1349" t="e">
        <f ca="1">INDIRECT("'数据-取费表'!ad"&amp;$G$1)</f>
        <v>#N/A</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t="e">
        <f ca="1">ROUND(INDIRECT("'数据-取费表'!m"&amp;$G$1)*F16,0)</f>
        <v>#N/A</v>
      </c>
      <c r="D16" s="347" t="s">
        <v>1417</v>
      </c>
      <c r="E16" s="347" t="s">
        <v>1418</v>
      </c>
      <c r="F16" s="367" t="e">
        <f ca="1">IF(INDIRECT("'数据-取费表'!c"&amp;$G$1)="住宅",'数据-取费表'!B34,0)</f>
        <v>#N/A</v>
      </c>
      <c r="G16" s="1851"/>
      <c r="H16" s="1329" t="s">
        <v>1027</v>
      </c>
      <c r="I16" s="1330" t="s">
        <v>1420</v>
      </c>
      <c r="J16" s="355" t="e">
        <f ca="1">ROUND(J17+J22+J23+J24,0)</f>
        <v>#N/A</v>
      </c>
      <c r="K16" s="1337" t="s">
        <v>1421</v>
      </c>
      <c r="L16" s="2947"/>
      <c r="M16" s="1294"/>
    </row>
    <row r="17" spans="1:37" s="1858" customFormat="1" ht="18" customHeight="1">
      <c r="A17" s="1201" t="s">
        <v>1386</v>
      </c>
      <c r="B17" s="347" t="s">
        <v>1422</v>
      </c>
      <c r="C17" s="24" t="e">
        <f ca="1">ROUND(F17*(F43+INDIRECT("'数据-取费表'!S"&amp;$G$1))/10000,0)</f>
        <v>#N/A</v>
      </c>
      <c r="D17" s="347" t="s">
        <v>1423</v>
      </c>
      <c r="E17" s="347" t="s">
        <v>1424</v>
      </c>
      <c r="F17" s="26">
        <f>'数据-取费表'!B35</f>
        <v>200</v>
      </c>
      <c r="G17" s="1854"/>
      <c r="H17" s="1201" t="s">
        <v>1032</v>
      </c>
      <c r="I17" s="347" t="s">
        <v>1425</v>
      </c>
      <c r="J17" s="24" t="e">
        <f ca="1">ROUND(IF(项目基本情况!B11="自然人",J5*M17,J18+J19+J20),1)</f>
        <v>#N/A</v>
      </c>
      <c r="K17" s="2945" t="s">
        <v>1426</v>
      </c>
      <c r="L17" s="2946"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t="e">
        <f ca="1">ROUND(C14*F18,0)</f>
        <v>#N/A</v>
      </c>
      <c r="D18" s="347" t="s">
        <v>1417</v>
      </c>
      <c r="E18" s="347" t="s">
        <v>1418</v>
      </c>
      <c r="F18" s="367">
        <f>'数据-取费表'!B36</f>
        <v>1.4999999999999999E-2</v>
      </c>
      <c r="G18" s="1854"/>
      <c r="H18" s="1201" t="s">
        <v>1031</v>
      </c>
      <c r="I18" s="347" t="s">
        <v>1429</v>
      </c>
      <c r="J18" s="24" t="e">
        <f ca="1">ROUND(J5*M18/(1+'数据-取费表'!C42),2)</f>
        <v>#N/A</v>
      </c>
      <c r="K18" s="2946" t="s">
        <v>1430</v>
      </c>
      <c r="L18" s="347" t="s">
        <v>1418</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t="e">
        <f ca="1">SUM(C14:C18)</f>
        <v>#N/A</v>
      </c>
      <c r="D19" s="140" t="s">
        <v>1432</v>
      </c>
      <c r="E19" s="2940"/>
      <c r="F19" s="26"/>
      <c r="G19" s="1851"/>
      <c r="H19" s="1201" t="s">
        <v>1033</v>
      </c>
      <c r="I19" s="347" t="s">
        <v>1433</v>
      </c>
      <c r="J19" s="24" t="e">
        <f ca="1">IF(K19="按租金收入计税",ROUND(J5*M19,2),ROUND(C29*M19*0.7,2))</f>
        <v>#N/A</v>
      </c>
      <c r="K19" s="1828" t="s">
        <v>1434</v>
      </c>
      <c r="L19" s="347" t="s">
        <v>1418</v>
      </c>
      <c r="M19" s="367">
        <f>IF(K19="按租金收入计税",'数据-取费表'!B51,'数据-取费表'!B50)</f>
        <v>1.2E-2</v>
      </c>
    </row>
    <row r="20" spans="1:37" s="1858" customFormat="1" ht="18" customHeight="1">
      <c r="A20" s="1201" t="s">
        <v>1036</v>
      </c>
      <c r="B20" s="347" t="s">
        <v>1435</v>
      </c>
      <c r="C20" s="24" t="e">
        <f ca="1">ROUND(C19*F20,0)</f>
        <v>#N/A</v>
      </c>
      <c r="D20" s="369" t="s">
        <v>1436</v>
      </c>
      <c r="E20" s="347" t="s">
        <v>1418</v>
      </c>
      <c r="F20" s="367">
        <f>'数据-取费表'!B37</f>
        <v>0.02</v>
      </c>
      <c r="G20" s="1854"/>
      <c r="H20" s="1201" t="s">
        <v>1385</v>
      </c>
      <c r="I20" s="164" t="s">
        <v>1437</v>
      </c>
      <c r="J20" s="25" t="e">
        <f ca="1">ROUND(M20*M21/10000,2)</f>
        <v>#N/A</v>
      </c>
      <c r="K20" s="370" t="s">
        <v>1438</v>
      </c>
      <c r="L20" s="347" t="s">
        <v>1439</v>
      </c>
      <c r="M20" s="371">
        <f>'数据-取费表'!B52</f>
        <v>2</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18</v>
      </c>
      <c r="D21" s="369" t="s">
        <v>1441</v>
      </c>
      <c r="E21" s="347" t="s">
        <v>1442</v>
      </c>
      <c r="F21" s="367">
        <f>'数据-取费表'!B38</f>
        <v>0.03</v>
      </c>
      <c r="G21" s="1854"/>
      <c r="H21" s="372"/>
      <c r="I21" s="356"/>
      <c r="J21" s="29"/>
      <c r="K21" s="373"/>
      <c r="L21" s="347" t="s">
        <v>1443</v>
      </c>
      <c r="M21" s="348" t="e">
        <f ca="1">INDIRECT("'数据-取费表'!r"&amp;$G$1)</f>
        <v>#N/A</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2940"/>
      <c r="F22" s="26"/>
      <c r="G22" s="1851"/>
      <c r="H22" s="1201" t="s">
        <v>1036</v>
      </c>
      <c r="I22" s="347" t="s">
        <v>1445</v>
      </c>
      <c r="J22" s="24" t="e">
        <f ca="1">ROUND(J14*M22,1)</f>
        <v>#N/A</v>
      </c>
      <c r="K22" s="2946" t="s">
        <v>1446</v>
      </c>
      <c r="L22" s="347" t="s">
        <v>1418</v>
      </c>
      <c r="M22" s="374" t="e">
        <f ca="1">INDIRECT("'数据-取费表'!Ak"&amp;$G$1)</f>
        <v>#N/A</v>
      </c>
    </row>
    <row r="23" spans="1:37" s="1858" customFormat="1" ht="18" customHeight="1">
      <c r="A23" s="1201" t="s">
        <v>1031</v>
      </c>
      <c r="B23" s="347" t="s">
        <v>1447</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1448</v>
      </c>
      <c r="F23" s="371">
        <f>'数据-取费表'!B20</f>
        <v>1.5</v>
      </c>
      <c r="G23" s="1854"/>
      <c r="H23" s="1201" t="s">
        <v>1072</v>
      </c>
      <c r="I23" s="347" t="s">
        <v>1449</v>
      </c>
      <c r="J23" s="24" t="e">
        <f ca="1">ROUND(J13*M23,1)</f>
        <v>#N/A</v>
      </c>
      <c r="K23" s="2946" t="s">
        <v>1450</v>
      </c>
      <c r="L23" s="347" t="s">
        <v>1451</v>
      </c>
      <c r="M23" s="376" t="e">
        <f ca="1">INDIRECT("'数据-取费表'!Al"&amp;$G$1)</f>
        <v>#N/A</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1.1000000000000001E-3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t="e">
        <f ca="1">ROUND(J5*M24,1)</f>
        <v>#N/A</v>
      </c>
      <c r="K24" s="1342" t="s">
        <v>1455</v>
      </c>
      <c r="L24" s="1340" t="s">
        <v>1451</v>
      </c>
      <c r="M24" s="1336" t="e">
        <f ca="1">INDIRECT("'数据-取费表'!Am"&amp;$G$1)</f>
        <v>#N/A</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7" t="s">
        <v>1457</v>
      </c>
      <c r="C25" s="24"/>
      <c r="D25" s="140" t="s">
        <v>1458</v>
      </c>
      <c r="E25" s="2940"/>
      <c r="F25" s="26"/>
      <c r="G25" s="1851"/>
      <c r="H25" s="1329" t="s">
        <v>1028</v>
      </c>
      <c r="I25" s="1344" t="s">
        <v>1459</v>
      </c>
      <c r="J25" s="355" t="e">
        <f ca="1">J5-J16</f>
        <v>#N/A</v>
      </c>
      <c r="K25" s="1345" t="s">
        <v>1460</v>
      </c>
      <c r="L25" s="1346"/>
      <c r="M25" s="1347"/>
    </row>
    <row r="26" spans="1:37">
      <c r="A26" s="1201" t="s">
        <v>1031</v>
      </c>
      <c r="B26" s="347" t="s">
        <v>1461</v>
      </c>
      <c r="C26" s="24" t="e">
        <f ca="1">ROUND((C19+C20)*F26,0)</f>
        <v>#N/A</v>
      </c>
      <c r="D26" s="369" t="s">
        <v>1462</v>
      </c>
      <c r="E26" s="358" t="s">
        <v>1463</v>
      </c>
      <c r="F26" s="357" t="e">
        <f ca="1">INDIRECT("'数据-取费表'!q"&amp;$G$1)</f>
        <v>#N/A</v>
      </c>
      <c r="G26" s="1851"/>
      <c r="H26" s="344" t="s">
        <v>1029</v>
      </c>
      <c r="I26" s="345" t="s">
        <v>1464</v>
      </c>
      <c r="J26" s="346" t="e">
        <f ca="1">IF(J5&lt;&gt;0,ROUND(J25*(1-((1+M28)/(1+M26))^M27)/(M26-M28),0),0)</f>
        <v>#N/A</v>
      </c>
      <c r="K26" s="370" t="s">
        <v>1465</v>
      </c>
      <c r="L26" s="347" t="s">
        <v>1466</v>
      </c>
      <c r="M26" s="357" t="e">
        <f ca="1">INDIRECT("'数据-取费表'!I"&amp;$G$1)</f>
        <v>#N/A</v>
      </c>
    </row>
    <row r="27" spans="1:37" ht="18" customHeight="1">
      <c r="A27" s="1201" t="s">
        <v>1033</v>
      </c>
      <c r="B27" s="347" t="s">
        <v>1467</v>
      </c>
      <c r="C27" s="24" t="e">
        <f ca="1">ROUND(F21*F26,4)</f>
        <v>#N/A</v>
      </c>
      <c r="D27" s="369" t="s">
        <v>1468</v>
      </c>
      <c r="E27" s="365"/>
      <c r="F27" s="366"/>
      <c r="G27" s="1851"/>
      <c r="H27" s="349"/>
      <c r="I27" s="350"/>
      <c r="J27" s="351"/>
      <c r="K27" s="378" t="s">
        <v>1469</v>
      </c>
      <c r="L27" s="347" t="s">
        <v>1470</v>
      </c>
      <c r="M27" s="379" t="e">
        <f ca="1">INDIRECT("'数据-取费表'!ag"&amp;$G$1)</f>
        <v>#N/A</v>
      </c>
    </row>
    <row r="28" spans="1:37" s="1858" customFormat="1" ht="18" customHeight="1">
      <c r="A28" s="1201" t="s">
        <v>1034</v>
      </c>
      <c r="B28" s="347" t="s">
        <v>1471</v>
      </c>
      <c r="C28" s="24">
        <f>ROUND(F28/(1+'数据-取费表'!C42),4)</f>
        <v>5.33E-2</v>
      </c>
      <c r="D28" s="369" t="s">
        <v>1472</v>
      </c>
      <c r="E28" s="347" t="s">
        <v>1418</v>
      </c>
      <c r="F28" s="367">
        <f>'数据-取费表'!B41</f>
        <v>5.6000000000000001E-2</v>
      </c>
      <c r="G28" s="1854"/>
      <c r="H28" s="353"/>
      <c r="I28" s="354"/>
      <c r="J28" s="355"/>
      <c r="K28" s="373"/>
      <c r="L28" s="347" t="s">
        <v>1473</v>
      </c>
      <c r="M28" s="357" t="e">
        <f ca="1">INDIRECT("'数据-取费表'!aa"&amp;$G$1)</f>
        <v>#N/A</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t="e">
        <f ca="1">ROUND((C19+C20+C23+C26)/(1-F21-C24-C27-C28),0)</f>
        <v>#N/A</v>
      </c>
      <c r="D29" s="1342"/>
      <c r="E29" s="1340"/>
      <c r="F29" s="1343"/>
      <c r="G29" s="1854"/>
      <c r="H29" s="380" t="s">
        <v>1030</v>
      </c>
      <c r="I29" s="381" t="s">
        <v>1475</v>
      </c>
      <c r="J29" s="382" t="e">
        <f ca="1">ROUND(J26/(1+F40)^F41,0)</f>
        <v>#N/A</v>
      </c>
      <c r="K29" s="383" t="s">
        <v>1476</v>
      </c>
      <c r="L29" s="384"/>
      <c r="M29" s="385" t="e">
        <f ca="1">INDIRECT("'数据-取费表'!k"&amp;$G$1)</f>
        <v>#N/A</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t="e">
        <f ca="1">ROUND(C31+C36+C37+C38,0)</f>
        <v>#N/A</v>
      </c>
      <c r="D30" s="1337" t="s">
        <v>1421</v>
      </c>
      <c r="E30" s="2947"/>
      <c r="F30" s="1294"/>
      <c r="G30" s="1851"/>
      <c r="H30" s="745"/>
      <c r="I30" s="746"/>
      <c r="J30" s="747"/>
      <c r="K30" s="748"/>
      <c r="L30" s="749"/>
      <c r="M30" s="750"/>
    </row>
    <row r="31" spans="1:37" ht="18" customHeight="1">
      <c r="A31" s="1201" t="s">
        <v>1032</v>
      </c>
      <c r="B31" s="347" t="s">
        <v>1425</v>
      </c>
      <c r="C31" s="24" t="e">
        <f ca="1">ROUND(IF(项目基本情况!B11="自然人",C5*F31,C32+C33+C34),1)</f>
        <v>#N/A</v>
      </c>
      <c r="D31" s="2945" t="s">
        <v>1426</v>
      </c>
      <c r="E31" s="2946"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t="e">
        <f ca="1">IF(项目基本情况!B11="自然人","——",ROUND(C5*F32/(1+'数据-取费表'!C42),2))</f>
        <v>#N/A</v>
      </c>
      <c r="D32" s="2946" t="s">
        <v>1430</v>
      </c>
      <c r="E32" s="347" t="s">
        <v>1418</v>
      </c>
      <c r="F32" s="377">
        <f>'数据-取费表'!B41</f>
        <v>5.6000000000000001E-2</v>
      </c>
      <c r="G32" s="1851"/>
      <c r="H32" s="745"/>
      <c r="I32" s="746"/>
      <c r="J32" s="747"/>
      <c r="K32" s="748"/>
      <c r="L32" s="749"/>
      <c r="M32" s="750"/>
    </row>
    <row r="33" spans="1:18" ht="18" customHeight="1">
      <c r="A33" s="1201" t="s">
        <v>1033</v>
      </c>
      <c r="B33" s="347" t="s">
        <v>1433</v>
      </c>
      <c r="C33" s="24" t="e">
        <f ca="1">IF(项目基本情况!B11="自然人","——",IF(D33="按租金收入计税",ROUND(C5*F33,2),IF(D33="按房产原值计税",ROUND(C29*F33*0.7,2),INDIRECT("'数据-取费表'!Aj"&amp;$G$1))))</f>
        <v>#N/A</v>
      </c>
      <c r="D33" s="1828" t="s">
        <v>3291</v>
      </c>
      <c r="E33" s="347" t="s">
        <v>1418</v>
      </c>
      <c r="F33" s="367">
        <f>IF(D33="按票据","——",IF(D33="按租金收入计税",'数据-取费表'!B51,'数据-取费表'!B50))</f>
        <v>0.12</v>
      </c>
      <c r="G33" s="1851"/>
      <c r="H33" s="1859"/>
      <c r="I33" s="1860"/>
      <c r="J33" s="1861"/>
      <c r="K33" s="1862"/>
      <c r="L33" s="1859"/>
      <c r="M33" s="1859"/>
    </row>
    <row r="34" spans="1:18" ht="18" customHeight="1">
      <c r="A34" s="1291" t="s">
        <v>1385</v>
      </c>
      <c r="B34" s="164" t="s">
        <v>1437</v>
      </c>
      <c r="C34" s="25" t="e">
        <f ca="1">IF(项目基本情况!B11="自然人","——",ROUND(F34*F35/10000,2))</f>
        <v>#N/A</v>
      </c>
      <c r="D34" s="370" t="s">
        <v>1438</v>
      </c>
      <c r="E34" s="347" t="s">
        <v>1439</v>
      </c>
      <c r="F34" s="371">
        <f>'数据-取费表'!B52</f>
        <v>2</v>
      </c>
      <c r="G34" s="1851"/>
      <c r="H34" s="745"/>
      <c r="I34" s="1860"/>
      <c r="J34" s="1861"/>
      <c r="K34" s="1863"/>
      <c r="L34" s="1864"/>
      <c r="M34" s="1864"/>
    </row>
    <row r="35" spans="1:18" ht="18" customHeight="1">
      <c r="A35" s="1353"/>
      <c r="B35" s="1351"/>
      <c r="C35" s="29"/>
      <c r="D35" s="373"/>
      <c r="E35" s="347" t="s">
        <v>1443</v>
      </c>
      <c r="F35" s="348" t="e">
        <f ca="1">INDIRECT("'数据-取费表'!r"&amp;$G$1)</f>
        <v>#N/A</v>
      </c>
      <c r="G35" s="1851"/>
      <c r="H35" s="745"/>
      <c r="I35" s="1860"/>
      <c r="J35" s="1861"/>
      <c r="K35" s="1862"/>
      <c r="L35" s="1859"/>
      <c r="M35" s="1859"/>
    </row>
    <row r="36" spans="1:18" ht="18" customHeight="1">
      <c r="A36" s="1352" t="s">
        <v>1036</v>
      </c>
      <c r="B36" s="347" t="s">
        <v>1445</v>
      </c>
      <c r="C36" s="24" t="e">
        <f ca="1">ROUND(C29*F36,1)</f>
        <v>#N/A</v>
      </c>
      <c r="D36" s="2946" t="s">
        <v>1478</v>
      </c>
      <c r="E36" s="347" t="s">
        <v>1418</v>
      </c>
      <c r="F36" s="374" t="e">
        <f ca="1">INDIRECT("'数据-取费表'!Ak"&amp;$G$1)</f>
        <v>#N/A</v>
      </c>
      <c r="G36" s="1851"/>
      <c r="H36" s="1859"/>
      <c r="I36" s="1860"/>
      <c r="J36" s="1861"/>
      <c r="K36" s="751"/>
      <c r="L36" s="1859"/>
      <c r="M36" s="1859"/>
    </row>
    <row r="37" spans="1:18" ht="18" customHeight="1">
      <c r="A37" s="1201" t="s">
        <v>1072</v>
      </c>
      <c r="B37" s="347" t="s">
        <v>1449</v>
      </c>
      <c r="C37" s="24" t="e">
        <f ca="1">ROUND(C13*F37,1)</f>
        <v>#N/A</v>
      </c>
      <c r="D37" s="2946" t="s">
        <v>1450</v>
      </c>
      <c r="E37" s="347" t="s">
        <v>1451</v>
      </c>
      <c r="F37" s="376" t="e">
        <f ca="1">INDIRECT("'数据-取费表'!Al"&amp;$G$1)</f>
        <v>#N/A</v>
      </c>
      <c r="G37" s="1851"/>
      <c r="H37" s="1859"/>
      <c r="I37" s="1860"/>
      <c r="J37" s="1861"/>
      <c r="K37" s="751"/>
      <c r="L37" s="1859"/>
      <c r="M37" s="1859"/>
    </row>
    <row r="38" spans="1:18" ht="18" customHeight="1" thickBot="1">
      <c r="A38" s="1339" t="s">
        <v>1389</v>
      </c>
      <c r="B38" s="1340" t="s">
        <v>1435</v>
      </c>
      <c r="C38" s="1341" t="e">
        <f ca="1">ROUND(C5*F38,1)</f>
        <v>#N/A</v>
      </c>
      <c r="D38" s="1342" t="s">
        <v>1455</v>
      </c>
      <c r="E38" s="1340" t="s">
        <v>1451</v>
      </c>
      <c r="F38" s="1336" t="e">
        <f ca="1">INDIRECT("'数据-取费表'!Am"&amp;$G$1)</f>
        <v>#N/A</v>
      </c>
      <c r="G38" s="1851"/>
      <c r="H38" s="1859"/>
      <c r="I38" s="1860"/>
      <c r="J38" s="1861"/>
      <c r="K38" s="1865"/>
      <c r="L38" s="1859"/>
      <c r="M38" s="1859"/>
    </row>
    <row r="39" spans="1:18" ht="24.6" customHeight="1" thickTop="1">
      <c r="A39" s="1329" t="s">
        <v>1028</v>
      </c>
      <c r="B39" s="1344" t="s">
        <v>1459</v>
      </c>
      <c r="C39" s="355" t="e">
        <f ca="1">C5-C30</f>
        <v>#N/A</v>
      </c>
      <c r="D39" s="1345" t="s">
        <v>1480</v>
      </c>
      <c r="E39" s="1346"/>
      <c r="F39" s="1347"/>
      <c r="G39" s="1851"/>
      <c r="H39" s="1859"/>
      <c r="I39" s="1860"/>
      <c r="J39" s="1861"/>
      <c r="K39" s="1865"/>
      <c r="L39" s="1859"/>
      <c r="M39" s="1859"/>
    </row>
    <row r="40" spans="1:18" ht="18" customHeight="1">
      <c r="A40" s="344" t="s">
        <v>1029</v>
      </c>
      <c r="B40" s="345" t="s">
        <v>1481</v>
      </c>
      <c r="C40" s="346" t="e">
        <f ca="1">ROUND(C39*(1-((1+F42)/(1+F40))^F41)/(F40-F42),0)</f>
        <v>#N/A</v>
      </c>
      <c r="D40" s="370" t="s">
        <v>1465</v>
      </c>
      <c r="E40" s="347" t="s">
        <v>1466</v>
      </c>
      <c r="F40" s="357" t="e">
        <f ca="1">INDIRECT("'数据-取费表'!I"&amp;$G$1)</f>
        <v>#N/A</v>
      </c>
      <c r="G40" s="1851"/>
      <c r="H40" s="1839"/>
      <c r="I40" s="1860"/>
      <c r="J40" s="1861"/>
      <c r="K40" s="1865"/>
      <c r="L40" s="1839"/>
      <c r="M40" s="1839"/>
    </row>
    <row r="41" spans="1:18" ht="18" customHeight="1">
      <c r="A41" s="349"/>
      <c r="B41" s="350"/>
      <c r="C41" s="351"/>
      <c r="D41" s="378" t="s">
        <v>1482</v>
      </c>
      <c r="E41" s="347" t="s">
        <v>1470</v>
      </c>
      <c r="F41" s="379" t="e">
        <f ca="1">IF(INDIRECT("'数据-取费表'!af"&amp;$G$1)=0,INDIRECT("'数据-取费表'!ae"&amp;$G$1),INDIRECT("'数据-取费表'!af"&amp;$G$1))</f>
        <v>#N/A</v>
      </c>
      <c r="G41" s="1851"/>
      <c r="H41" s="732"/>
      <c r="I41" s="1860"/>
      <c r="J41" s="1861"/>
      <c r="K41" s="751"/>
      <c r="L41" s="732"/>
      <c r="M41" s="732"/>
    </row>
    <row r="42" spans="1:18" ht="18" customHeight="1">
      <c r="A42" s="353"/>
      <c r="B42" s="354"/>
      <c r="C42" s="355"/>
      <c r="D42" s="373"/>
      <c r="E42" s="347" t="s">
        <v>1473</v>
      </c>
      <c r="F42" s="357" t="e">
        <f ca="1">INDIRECT("'数据-取费表'!v"&amp;$G$1)</f>
        <v>#N/A</v>
      </c>
      <c r="G42" s="1851"/>
      <c r="H42" s="732"/>
      <c r="I42" s="1860"/>
      <c r="J42" s="1861"/>
      <c r="K42" s="751"/>
      <c r="L42" s="732"/>
      <c r="M42" s="732"/>
    </row>
    <row r="43" spans="1:18" ht="18" customHeight="1" thickBot="1">
      <c r="A43" s="380" t="s">
        <v>1030</v>
      </c>
      <c r="B43" s="381" t="s">
        <v>1483</v>
      </c>
      <c r="C43" s="382" t="e">
        <f ca="1">ROUND(C40*10000/F43,0)</f>
        <v>#N/A</v>
      </c>
      <c r="D43" s="383" t="s">
        <v>1484</v>
      </c>
      <c r="E43" s="384" t="s">
        <v>1485</v>
      </c>
      <c r="F43" s="385" t="e">
        <f ca="1">INDIRECT("'数据-取费表'!k"&amp;$G$1)</f>
        <v>#N/A</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1515</v>
      </c>
      <c r="P45" s="1839"/>
      <c r="Q45" s="1839"/>
      <c r="R45" s="1839"/>
    </row>
    <row r="46" spans="1:18" s="1842" customFormat="1" ht="13.5" thickBot="1">
      <c r="A46" s="1870" t="s">
        <v>1516</v>
      </c>
      <c r="C46" s="1871" t="e">
        <f ca="1">C68-C40</f>
        <v>#N/A</v>
      </c>
      <c r="D46" s="1872" t="str">
        <f>C2</f>
        <v>万元</v>
      </c>
      <c r="E46" s="1866"/>
      <c r="F46" s="1866"/>
      <c r="I46" s="1873" t="s">
        <v>1517</v>
      </c>
      <c r="J46" s="1874"/>
      <c r="K46" s="1875"/>
      <c r="L46" s="1876" t="e">
        <f ca="1">IF(M47="住宅",0,IF(L48&gt;J51,L60,J60))</f>
        <v>#N/A</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92"/>
      <c r="I47" s="1880" t="s">
        <v>1522</v>
      </c>
      <c r="J47" s="1881" t="s">
        <v>3298</v>
      </c>
      <c r="K47" s="1882" t="s">
        <v>1523</v>
      </c>
      <c r="L47" s="1883" t="e">
        <f ca="1">INDIRECT("'数据-取费表'!d"&amp;$G$1)</f>
        <v>#N/A</v>
      </c>
      <c r="M47" s="1838" t="str">
        <f>IF(ISNUMBER(FIND("住宅",C1)),"住宅","非住宅")</f>
        <v>非住宅</v>
      </c>
      <c r="O47" s="1884" t="s">
        <v>1037</v>
      </c>
      <c r="P47" s="1885" t="s">
        <v>1524</v>
      </c>
      <c r="Q47" s="1886" t="e">
        <f ca="1">C40+J29</f>
        <v>#N/A</v>
      </c>
      <c r="R47" s="1886" t="s">
        <v>1525</v>
      </c>
    </row>
    <row r="48" spans="1:18" s="1842" customFormat="1" ht="28.5" thickBot="1">
      <c r="A48" s="1360" t="s">
        <v>1132</v>
      </c>
      <c r="B48" s="345" t="s">
        <v>1397</v>
      </c>
      <c r="C48" s="2939" t="e">
        <f ca="1">C49+C53+C55</f>
        <v>#N/A</v>
      </c>
      <c r="D48" s="1362"/>
      <c r="E48" s="1363"/>
      <c r="F48" s="1181"/>
      <c r="G48" s="792"/>
      <c r="H48" s="793"/>
      <c r="I48" s="1887" t="s">
        <v>1526</v>
      </c>
      <c r="J48" s="1888" t="s">
        <v>3299</v>
      </c>
      <c r="K48" s="1889" t="s">
        <v>1527</v>
      </c>
      <c r="L48" s="1890" t="e">
        <f ca="1">INDIRECT("'数据-取费表'!f"&amp;$G$1)</f>
        <v>#N/A</v>
      </c>
      <c r="O48" s="1884" t="s">
        <v>1038</v>
      </c>
      <c r="P48" s="1885" t="s">
        <v>1528</v>
      </c>
      <c r="Q48" s="1886" t="e">
        <f ca="1">J60</f>
        <v>#N/A</v>
      </c>
      <c r="R48" s="1886" t="s">
        <v>1529</v>
      </c>
    </row>
    <row r="49" spans="1:18" s="1842" customFormat="1" ht="13.5" thickBot="1">
      <c r="A49" s="1194" t="s">
        <v>1133</v>
      </c>
      <c r="B49" s="1829" t="s">
        <v>1486</v>
      </c>
      <c r="C49" s="1364" t="e">
        <f ca="1">ROUND(F49*F51*F50*(1-F52)/10000,0)</f>
        <v>#N/A</v>
      </c>
      <c r="D49" s="1276" t="s">
        <v>3025</v>
      </c>
      <c r="E49" s="1830" t="s">
        <v>1487</v>
      </c>
      <c r="F49" s="1281"/>
      <c r="G49" s="1891"/>
      <c r="H49" s="793"/>
      <c r="I49" s="1887" t="s">
        <v>1530</v>
      </c>
      <c r="J49" s="1892">
        <v>1990</v>
      </c>
      <c r="K49" s="1889" t="s">
        <v>1531</v>
      </c>
      <c r="L49" s="1893"/>
      <c r="O49" s="1894" t="s">
        <v>1039</v>
      </c>
      <c r="P49" s="1885" t="s">
        <v>1532</v>
      </c>
      <c r="Q49" s="1886" t="e">
        <f ca="1">C29</f>
        <v>#N/A</v>
      </c>
      <c r="R49" s="1886" t="s">
        <v>1525</v>
      </c>
    </row>
    <row r="50" spans="1:18" s="1842" customFormat="1" ht="13.5" thickBot="1">
      <c r="A50" s="1195"/>
      <c r="B50" s="1198"/>
      <c r="C50" s="1368"/>
      <c r="D50" s="1172"/>
      <c r="E50" s="1277" t="s">
        <v>1402</v>
      </c>
      <c r="F50" s="1278" t="e">
        <f ca="1">F7</f>
        <v>#N/A</v>
      </c>
      <c r="H50" s="793"/>
      <c r="I50" s="1887" t="s">
        <v>1533</v>
      </c>
      <c r="J50" s="1895">
        <f>SUMPRODUCT((I63:I65=J47)*(J62:L62=J48)*(J63:L65))</f>
        <v>50</v>
      </c>
      <c r="K50" s="1889" t="s">
        <v>1534</v>
      </c>
      <c r="L50" s="1893"/>
      <c r="M50" s="1896"/>
      <c r="O50" s="1894" t="s">
        <v>1040</v>
      </c>
      <c r="P50" s="1885" t="s">
        <v>1535</v>
      </c>
      <c r="Q50" s="1897" t="e">
        <f ca="1">J58</f>
        <v>#N/A</v>
      </c>
      <c r="R50" s="1886"/>
    </row>
    <row r="51" spans="1:18" s="1842" customFormat="1" ht="13.5" thickBot="1">
      <c r="A51" s="1196"/>
      <c r="B51" s="1198"/>
      <c r="C51" s="1199"/>
      <c r="D51" s="1172"/>
      <c r="E51" s="1200" t="s">
        <v>1403</v>
      </c>
      <c r="F51" s="348" t="e">
        <f ca="1">F8</f>
        <v>#N/A</v>
      </c>
      <c r="I51" s="1898" t="s">
        <v>1536</v>
      </c>
      <c r="J51" s="1899">
        <f>IF(J49="",J50,J49+J50-YEAR('数据-取费表'!B2))</f>
        <v>21</v>
      </c>
      <c r="K51" s="1900" t="s">
        <v>1537</v>
      </c>
      <c r="L51" s="1901" t="e">
        <f ca="1">ROUND(-PV(INDIRECT("'数据-取费表'!h"&amp;$G$1),L48,(C39-C13*C76),0),0)</f>
        <v>#N/A</v>
      </c>
      <c r="M51" s="1902"/>
      <c r="O51" s="1894" t="s">
        <v>1041</v>
      </c>
      <c r="P51" s="1885" t="s">
        <v>1538</v>
      </c>
      <c r="Q51" s="1897">
        <f>J52</f>
        <v>0.09</v>
      </c>
      <c r="R51" s="1886"/>
    </row>
    <row r="52" spans="1:18" s="1842" customFormat="1" ht="13.5" thickBot="1">
      <c r="A52" s="1196"/>
      <c r="B52" s="1198"/>
      <c r="C52" s="1199"/>
      <c r="D52" s="1172"/>
      <c r="E52" s="1200" t="s">
        <v>1404</v>
      </c>
      <c r="F52" s="1275"/>
      <c r="I52" s="1903" t="s">
        <v>1539</v>
      </c>
      <c r="J52" s="1904">
        <v>0.09</v>
      </c>
      <c r="K52" s="1903" t="s">
        <v>1540</v>
      </c>
      <c r="L52" s="1904">
        <f>'数据-取费表'!H6</f>
        <v>4.4999999999999998E-2</v>
      </c>
      <c r="O52" s="1894" t="s">
        <v>1042</v>
      </c>
      <c r="P52" s="1885" t="s">
        <v>1541</v>
      </c>
      <c r="Q52" s="1886" t="e">
        <f ca="1">J53</f>
        <v>#N/A</v>
      </c>
      <c r="R52" s="1886" t="s">
        <v>1542</v>
      </c>
    </row>
    <row r="53" spans="1:18" s="1842" customFormat="1" ht="24.75" thickBot="1">
      <c r="A53" s="1405" t="s">
        <v>1134</v>
      </c>
      <c r="B53" s="1831" t="s">
        <v>1405</v>
      </c>
      <c r="C53" s="361">
        <f ca="1">ROUND(IF(F53="押一",C49/12*F11,IF(F53="押二",C49/12*2*F11,IF(F53="押三",C49/12*3*F11,C54*F11))),0)</f>
        <v>0</v>
      </c>
      <c r="D53" s="1824" t="s">
        <v>3034</v>
      </c>
      <c r="E53" s="358" t="s">
        <v>1406</v>
      </c>
      <c r="F53" s="1366"/>
      <c r="I53" s="1905" t="s">
        <v>1543</v>
      </c>
      <c r="J53" s="1906" t="e">
        <f ca="1">IF(M47="住宅",IF(D1="——",MAX(J51,L48),IF(D1="在建（套用方法）",MAX(J51,L48-'数据-取费表'!B24),MAX(J51,L48-'数据-取费表'!B20))),IF(D1="——",MIN(J51,L48),IF(D1="在建（套用方法）",MIN(J51,L48-'数据-取费表'!B24),IF(D1="土地（套用方法）",MIN(J51,L48-'数据-取费表'!B20)))))</f>
        <v>#N/A</v>
      </c>
      <c r="K53" s="3393" t="s">
        <v>1544</v>
      </c>
      <c r="L53" s="3394"/>
      <c r="O53" s="1884" t="s">
        <v>1043</v>
      </c>
      <c r="P53" s="1885" t="s">
        <v>1545</v>
      </c>
      <c r="Q53" s="1886" t="e">
        <f ca="1">Q47+Q48</f>
        <v>#N/A</v>
      </c>
      <c r="R53" s="1886" t="s">
        <v>1044</v>
      </c>
    </row>
    <row r="54" spans="1:18" s="1842" customFormat="1" ht="13.5" thickBot="1">
      <c r="A54" s="1406"/>
      <c r="B54" s="1825" t="s">
        <v>1384</v>
      </c>
      <c r="C54" s="1178"/>
      <c r="D54" s="1824"/>
      <c r="E54" s="2943"/>
      <c r="F54" s="1907"/>
      <c r="I54" s="190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9"/>
      <c r="K54" s="1909"/>
      <c r="L54" s="1909"/>
      <c r="M54" s="1891"/>
      <c r="O54" s="1869" t="s">
        <v>1546</v>
      </c>
      <c r="P54" s="1839"/>
      <c r="Q54" s="1839"/>
      <c r="R54" s="1839"/>
    </row>
    <row r="55" spans="1:18" s="1842" customFormat="1" ht="13.5" thickBot="1">
      <c r="A55" s="1333" t="s">
        <v>1072</v>
      </c>
      <c r="B55" s="1827" t="s">
        <v>1409</v>
      </c>
      <c r="C55" s="1334"/>
      <c r="D55" s="1824"/>
      <c r="E55" s="2943"/>
      <c r="F55" s="1907"/>
      <c r="I55" s="1910" t="s">
        <v>1547</v>
      </c>
      <c r="J55" s="1911" t="e">
        <f ca="1">ROUND(IF(J47="钢混",J57/J50,1-(1-2%)*(J50-J57)/J50),3)</f>
        <v>#N/A</v>
      </c>
      <c r="K55" s="1912" t="s">
        <v>1548</v>
      </c>
      <c r="L55" s="1913" t="s">
        <v>1549</v>
      </c>
      <c r="O55" s="1877" t="s">
        <v>1518</v>
      </c>
      <c r="P55" s="1878" t="s">
        <v>1519</v>
      </c>
      <c r="Q55" s="1879" t="s">
        <v>1520</v>
      </c>
      <c r="R55" s="1879" t="s">
        <v>1521</v>
      </c>
    </row>
    <row r="56" spans="1:18" s="1842" customFormat="1" ht="25.5" thickTop="1" thickBot="1">
      <c r="A56" s="1176">
        <v>2</v>
      </c>
      <c r="B56" s="1177" t="s">
        <v>1410</v>
      </c>
      <c r="C56" s="276" t="e">
        <f ca="1">C13</f>
        <v>#N/A</v>
      </c>
      <c r="D56" s="1914"/>
      <c r="E56" s="1915"/>
      <c r="F56" s="1907"/>
      <c r="I56" s="1916" t="s">
        <v>1550</v>
      </c>
      <c r="J56" s="1917" t="s">
        <v>3280</v>
      </c>
      <c r="K56" s="1887" t="s">
        <v>1551</v>
      </c>
      <c r="L56" s="1890" t="e">
        <f ca="1">IF(L48&lt;J51,"——",L48-J53)</f>
        <v>#N/A</v>
      </c>
      <c r="O56" s="1884" t="s">
        <v>1037</v>
      </c>
      <c r="P56" s="1885" t="s">
        <v>1524</v>
      </c>
      <c r="Q56" s="1886" t="e">
        <f ca="1">C40+J29</f>
        <v>#N/A</v>
      </c>
      <c r="R56" s="1886" t="s">
        <v>1525</v>
      </c>
    </row>
    <row r="57" spans="1:18" s="1842" customFormat="1" ht="24.75" thickBot="1">
      <c r="A57" s="1918"/>
      <c r="B57" s="1169" t="s">
        <v>1474</v>
      </c>
      <c r="C57" s="282" t="e">
        <f ca="1">C29</f>
        <v>#N/A</v>
      </c>
      <c r="D57" s="1919"/>
      <c r="E57" s="1920"/>
      <c r="F57" s="1921"/>
      <c r="I57" s="1922" t="s">
        <v>1552</v>
      </c>
      <c r="J57" s="1923" t="e">
        <f ca="1">IF(OR(M47="住宅",J51&lt;L48,J56="是"),"——",J51-L48)</f>
        <v>#N/A</v>
      </c>
      <c r="K57" s="1887" t="s">
        <v>1553</v>
      </c>
      <c r="L57" s="1890" t="e">
        <f ca="1">IF(L48&lt;J51,"——",IF(L55="比较法",L49,IF(L55="基准地价",L50,L51)))</f>
        <v>#N/A</v>
      </c>
      <c r="O57" s="1884" t="s">
        <v>1038</v>
      </c>
      <c r="P57" s="1885" t="s">
        <v>1554</v>
      </c>
      <c r="Q57" s="1886" t="e">
        <f ca="1">L60</f>
        <v>#N/A</v>
      </c>
      <c r="R57" s="1886" t="s">
        <v>1555</v>
      </c>
    </row>
    <row r="58" spans="1:18" s="1842" customFormat="1" ht="24.75" thickBot="1">
      <c r="A58" s="360" t="s">
        <v>1027</v>
      </c>
      <c r="B58" s="1177" t="s">
        <v>1420</v>
      </c>
      <c r="C58" s="361" t="e">
        <f ca="1">ROUND(C59+C64+C65+C66,0)</f>
        <v>#N/A</v>
      </c>
      <c r="D58" s="1179" t="s">
        <v>1421</v>
      </c>
      <c r="E58" s="1180"/>
      <c r="F58" s="1181"/>
      <c r="I58" s="1922" t="s">
        <v>1556</v>
      </c>
      <c r="J58" s="1924" t="e">
        <f ca="1">IF(J55&lt;0.4,0.4,J55)</f>
        <v>#N/A</v>
      </c>
      <c r="K58" s="1900" t="s">
        <v>1557</v>
      </c>
      <c r="L58" s="1890" t="e">
        <f ca="1">ROUND(POWER(1+L52,L47-L48)*(POWER(1+L52,L48)-1)/(POWER(1+L52,L47)-1),4)</f>
        <v>#N/A</v>
      </c>
      <c r="O58" s="1894" t="s">
        <v>1039</v>
      </c>
      <c r="P58" s="1885" t="s">
        <v>1558</v>
      </c>
      <c r="Q58" s="1886">
        <f>IF(L55="比较法",L49,IF(L55="基准地价",L50,0))</f>
        <v>0</v>
      </c>
      <c r="R58" s="1886" t="s">
        <v>1525</v>
      </c>
    </row>
    <row r="59" spans="1:18" s="1842" customFormat="1" ht="24.75" thickBot="1">
      <c r="A59" s="1201" t="s">
        <v>1032</v>
      </c>
      <c r="B59" s="1169" t="s">
        <v>1425</v>
      </c>
      <c r="C59" s="24" t="e">
        <f ca="1">ROUND(IF(项目基本情况!B11="自然人",C48*F59,C60+C61+C62),1)</f>
        <v>#N/A</v>
      </c>
      <c r="D59" s="1182" t="s">
        <v>1426</v>
      </c>
      <c r="E59" s="1183" t="s">
        <v>1427</v>
      </c>
      <c r="F59" s="368" t="str">
        <f ca="1">IF(项目基本情况!B11="企业","",IF(INDIRECT("'数据-取费表'!c"&amp;$G$1)="住宅",5%,IF(F49*F50*F51/12/(1+'数据-取费表'!C42)&gt;20000,12%,7%)))</f>
        <v/>
      </c>
      <c r="I59" s="1922" t="s">
        <v>1559</v>
      </c>
      <c r="J59" s="1923" t="e">
        <f ca="1">IF(OR(M47="住宅",J51&lt;L48,J56="是"),"——",ROUND(C29*J58,0))</f>
        <v>#N/A</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#N/A</v>
      </c>
      <c r="M59" s="1838" t="e">
        <f ca="1">ROUND(POWER(1+L52,L47-(J51+'数据-取费表'!B24))*(POWER(1+L52,(J51+'数据-取费表'!B24))-1)/(POWER(1+L52,L47)-1),4)</f>
        <v>#N/A</v>
      </c>
      <c r="N59" s="1838" t="e">
        <f ca="1">ROUND(POWER(1+L52,L47-(J51+'数据-取费表'!B20))*(POWER(1+L52,(J51+'数据-取费表'!B20))-1)/(POWER(1+L52,L47)-1),4)</f>
        <v>#N/A</v>
      </c>
      <c r="O59" s="1894" t="s">
        <v>1040</v>
      </c>
      <c r="P59" s="1885" t="s">
        <v>1560</v>
      </c>
      <c r="Q59" s="1897">
        <f>L52</f>
        <v>4.4999999999999998E-2</v>
      </c>
      <c r="R59" s="1886"/>
    </row>
    <row r="60" spans="1:18" s="1842" customFormat="1" ht="16.5" thickBot="1">
      <c r="A60" s="1201" t="s">
        <v>1031</v>
      </c>
      <c r="B60" s="1169" t="s">
        <v>1429</v>
      </c>
      <c r="C60" s="24" t="e">
        <f ca="1">IF(项目基本情况!B11="自然人","——",ROUND(C48*F60/(1+'数据-取费表'!C42),2))</f>
        <v>#N/A</v>
      </c>
      <c r="D60" s="1183" t="s">
        <v>1430</v>
      </c>
      <c r="E60" s="1169" t="s">
        <v>1418</v>
      </c>
      <c r="F60" s="377">
        <f t="shared" ref="F60:F66" si="0">F32</f>
        <v>5.6000000000000001E-2</v>
      </c>
      <c r="I60" s="1925" t="s">
        <v>1561</v>
      </c>
      <c r="J60" s="1926" t="e">
        <f ca="1">IF(OR(M47="住宅",J51&lt;L48,J56="是"),"0",ROUND(J59/(1+J52)^J53,0))</f>
        <v>#N/A</v>
      </c>
      <c r="K60" s="1927" t="s">
        <v>1562</v>
      </c>
      <c r="L60" s="1926" t="e">
        <f ca="1">IF(OR(M47="住宅",L48&lt;J51),0,ROUND(L57*(L58/L59-1),0))</f>
        <v>#N/A</v>
      </c>
      <c r="O60" s="1894" t="s">
        <v>1041</v>
      </c>
      <c r="P60" s="1885" t="s">
        <v>1563</v>
      </c>
      <c r="Q60" s="1886" t="e">
        <f ca="1">L58</f>
        <v>#N/A</v>
      </c>
      <c r="R60" s="1886" t="s">
        <v>1564</v>
      </c>
    </row>
    <row r="61" spans="1:18" s="1842" customFormat="1" ht="13.5" thickBot="1">
      <c r="A61" s="1201" t="s">
        <v>1488</v>
      </c>
      <c r="B61" s="1169" t="s">
        <v>1489</v>
      </c>
      <c r="C61" s="24" t="e">
        <f ca="1">IF(项目基本情况!B11="自然人","——",IF(D61="按租金收入计税",ROUND(C48*F61,2),IF(D61="按房产原值计税",ROUND(C57*F61*0.7,2),INDIRECT("'数据-取费表'!Aj"&amp;$G$1))))</f>
        <v>#N/A</v>
      </c>
      <c r="D61" s="1828" t="s">
        <v>1434</v>
      </c>
      <c r="E61" s="1169" t="s">
        <v>1490</v>
      </c>
      <c r="F61" s="367">
        <f t="shared" si="0"/>
        <v>0.12</v>
      </c>
      <c r="I61" s="1928"/>
      <c r="J61" s="1928"/>
      <c r="K61" s="1928"/>
      <c r="L61" s="1928"/>
      <c r="O61" s="1894" t="s">
        <v>1042</v>
      </c>
      <c r="P61" s="1885" t="str">
        <f>K59</f>
        <v>建筑物剩余耐用年限下的土地年期修正系数Kn</v>
      </c>
      <c r="Q61" s="1886" t="e">
        <f ca="1">L59</f>
        <v>#N/A</v>
      </c>
      <c r="R61" s="1886" t="s">
        <v>1565</v>
      </c>
    </row>
    <row r="62" spans="1:18" s="1842" customFormat="1" ht="13.5" thickBot="1">
      <c r="A62" s="1201" t="s">
        <v>1491</v>
      </c>
      <c r="B62" s="1168" t="s">
        <v>1492</v>
      </c>
      <c r="C62" s="25" t="e">
        <f ca="1">IF(项目基本情况!B11="自然人","——",ROUND(F62*F63/10000,2))</f>
        <v>#N/A</v>
      </c>
      <c r="D62" s="1184" t="s">
        <v>1493</v>
      </c>
      <c r="E62" s="1169" t="s">
        <v>1494</v>
      </c>
      <c r="F62" s="371">
        <f t="shared" si="0"/>
        <v>2</v>
      </c>
      <c r="I62" s="1929" t="s">
        <v>1566</v>
      </c>
      <c r="J62" s="1930" t="s">
        <v>1567</v>
      </c>
      <c r="K62" s="1930" t="s">
        <v>1568</v>
      </c>
      <c r="L62" s="1930" t="s">
        <v>1569</v>
      </c>
      <c r="M62" s="1931" t="s">
        <v>1570</v>
      </c>
      <c r="O62" s="1884" t="s">
        <v>1043</v>
      </c>
      <c r="P62" s="1885" t="s">
        <v>1571</v>
      </c>
      <c r="Q62" s="1886" t="e">
        <f ca="1">Q56+Q57</f>
        <v>#N/A</v>
      </c>
      <c r="R62" s="1886" t="s">
        <v>1044</v>
      </c>
    </row>
    <row r="63" spans="1:18" s="1842" customFormat="1" ht="13.5" thickBot="1">
      <c r="A63" s="372"/>
      <c r="B63" s="1175"/>
      <c r="C63" s="29"/>
      <c r="D63" s="1185"/>
      <c r="E63" s="1169" t="s">
        <v>1495</v>
      </c>
      <c r="F63" s="348" t="e">
        <f t="shared" ca="1" si="0"/>
        <v>#N/A</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t="e">
        <f ca="1">ROUND(C57*F64,1)</f>
        <v>#N/A</v>
      </c>
      <c r="D64" s="1183" t="s">
        <v>1498</v>
      </c>
      <c r="E64" s="1169" t="s">
        <v>1490</v>
      </c>
      <c r="F64" s="374" t="e">
        <f t="shared" ca="1" si="0"/>
        <v>#N/A</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t="e">
        <f ca="1">ROUND(C56*F65,1)</f>
        <v>#N/A</v>
      </c>
      <c r="D65" s="1183" t="s">
        <v>1450</v>
      </c>
      <c r="E65" s="1169" t="s">
        <v>1451</v>
      </c>
      <c r="F65" s="376" t="e">
        <f t="shared" ca="1" si="0"/>
        <v>#N/A</v>
      </c>
      <c r="I65" s="1929" t="s">
        <v>1575</v>
      </c>
      <c r="J65" s="1930">
        <v>40</v>
      </c>
      <c r="K65" s="1930">
        <v>30</v>
      </c>
      <c r="L65" s="1930">
        <v>50</v>
      </c>
      <c r="M65" s="1932">
        <v>0.02</v>
      </c>
      <c r="O65" s="1884" t="s">
        <v>1037</v>
      </c>
      <c r="P65" s="1885" t="s">
        <v>1576</v>
      </c>
      <c r="Q65" s="1886" t="e">
        <f ca="1">C40+J29</f>
        <v>#N/A</v>
      </c>
      <c r="R65" s="1886" t="s">
        <v>1525</v>
      </c>
    </row>
    <row r="66" spans="1:18" s="1842" customFormat="1" ht="16.5" thickBot="1">
      <c r="A66" s="1201" t="s">
        <v>1500</v>
      </c>
      <c r="B66" s="1169" t="s">
        <v>1435</v>
      </c>
      <c r="C66" s="24" t="e">
        <f ca="1">ROUND(C48*F66,1)</f>
        <v>#N/A</v>
      </c>
      <c r="D66" s="1183" t="s">
        <v>1501</v>
      </c>
      <c r="E66" s="1169" t="s">
        <v>1418</v>
      </c>
      <c r="F66" s="357" t="e">
        <f t="shared" ca="1" si="0"/>
        <v>#N/A</v>
      </c>
      <c r="O66" s="1884" t="s">
        <v>1038</v>
      </c>
      <c r="P66" s="1885" t="s">
        <v>1554</v>
      </c>
      <c r="Q66" s="1886" t="e">
        <f ca="1">L60</f>
        <v>#N/A</v>
      </c>
      <c r="R66" s="1886" t="s">
        <v>1577</v>
      </c>
    </row>
    <row r="67" spans="1:18" s="1842" customFormat="1" ht="16.5" thickBot="1">
      <c r="A67" s="1176" t="s">
        <v>1028</v>
      </c>
      <c r="B67" s="1186" t="s">
        <v>1459</v>
      </c>
      <c r="C67" s="361" t="e">
        <f ca="1">C48-C58</f>
        <v>#N/A</v>
      </c>
      <c r="D67" s="1182" t="s">
        <v>1460</v>
      </c>
      <c r="E67" s="1187"/>
      <c r="F67" s="1188"/>
      <c r="O67" s="1894" t="s">
        <v>1039</v>
      </c>
      <c r="P67" s="1885" t="s">
        <v>1558</v>
      </c>
      <c r="Q67" s="1933" t="e">
        <f ca="1">L51</f>
        <v>#N/A</v>
      </c>
      <c r="R67" s="1886" t="s">
        <v>1578</v>
      </c>
    </row>
    <row r="68" spans="1:18" s="1842" customFormat="1" ht="16.5" thickBot="1">
      <c r="A68" s="1166" t="s">
        <v>1029</v>
      </c>
      <c r="B68" s="1167" t="s">
        <v>1481</v>
      </c>
      <c r="C68" s="346" t="e">
        <f ca="1">ROUND(C67*(1-((1+F70)/(1+F68))^F69)/(F68-F70),0)</f>
        <v>#N/A</v>
      </c>
      <c r="D68" s="1184" t="s">
        <v>1465</v>
      </c>
      <c r="E68" s="1169" t="s">
        <v>1466</v>
      </c>
      <c r="F68" s="357" t="e">
        <f ca="1">F40</f>
        <v>#N/A</v>
      </c>
      <c r="O68" s="1894" t="s">
        <v>1040</v>
      </c>
      <c r="P68" s="1934" t="s">
        <v>1579</v>
      </c>
      <c r="Q68" s="1886" t="e">
        <f ca="1">ROUND(Q69-Q70*Q71,0)</f>
        <v>#N/A</v>
      </c>
      <c r="R68" s="1886" t="s">
        <v>1048</v>
      </c>
    </row>
    <row r="69" spans="1:18" s="1842" customFormat="1" ht="13.5" thickBot="1">
      <c r="A69" s="1170"/>
      <c r="B69" s="1171"/>
      <c r="C69" s="351"/>
      <c r="D69" s="1189" t="s">
        <v>1469</v>
      </c>
      <c r="E69" s="1169" t="s">
        <v>1470</v>
      </c>
      <c r="F69" s="379" t="e">
        <f ca="1">F41</f>
        <v>#N/A</v>
      </c>
      <c r="O69" s="1894" t="s">
        <v>1045</v>
      </c>
      <c r="P69" s="1934" t="s">
        <v>1580</v>
      </c>
      <c r="Q69" s="1886" t="e">
        <f ca="1">C39</f>
        <v>#N/A</v>
      </c>
      <c r="R69" s="1886" t="s">
        <v>1525</v>
      </c>
    </row>
    <row r="70" spans="1:18" s="1842" customFormat="1" ht="13.5" thickBot="1">
      <c r="A70" s="1173"/>
      <c r="B70" s="1174"/>
      <c r="C70" s="355"/>
      <c r="D70" s="1185"/>
      <c r="E70" s="1169" t="s">
        <v>1473</v>
      </c>
      <c r="F70" s="1275"/>
      <c r="O70" s="1894" t="s">
        <v>1046</v>
      </c>
      <c r="P70" s="1934" t="s">
        <v>1581</v>
      </c>
      <c r="Q70" s="1886" t="e">
        <f ca="1">C13</f>
        <v>#N/A</v>
      </c>
      <c r="R70" s="1886" t="s">
        <v>1525</v>
      </c>
    </row>
    <row r="71" spans="1:18" s="1842" customFormat="1" ht="13.5" thickBot="1">
      <c r="A71" s="1190" t="s">
        <v>1030</v>
      </c>
      <c r="B71" s="1191" t="s">
        <v>1483</v>
      </c>
      <c r="C71" s="382" t="e">
        <f ca="1">ROUND(C68*10000/F71,0)</f>
        <v>#N/A</v>
      </c>
      <c r="D71" s="1192" t="s">
        <v>1484</v>
      </c>
      <c r="E71" s="1193" t="s">
        <v>1485</v>
      </c>
      <c r="F71" s="385" t="e">
        <f ca="1">F43</f>
        <v>#N/A</v>
      </c>
      <c r="O71" s="1894" t="s">
        <v>1047</v>
      </c>
      <c r="P71" s="1934" t="s">
        <v>1582</v>
      </c>
      <c r="Q71" s="1897" t="e">
        <f ca="1">C76</f>
        <v>#N/A</v>
      </c>
      <c r="R71" s="1886"/>
    </row>
    <row r="72" spans="1:18" s="1842" customFormat="1" ht="13.5" thickBot="1">
      <c r="B72" s="796"/>
      <c r="C72" s="796"/>
      <c r="O72" s="1894" t="s">
        <v>1041</v>
      </c>
      <c r="P72" s="1885" t="s">
        <v>1560</v>
      </c>
      <c r="Q72" s="1897">
        <f>L52</f>
        <v>4.4999999999999998E-2</v>
      </c>
      <c r="R72" s="1886"/>
    </row>
    <row r="73" spans="1:18" ht="16.5" thickBot="1">
      <c r="A73" s="1842"/>
      <c r="B73" s="796"/>
      <c r="C73" s="796"/>
      <c r="D73" s="1842"/>
      <c r="E73" s="1842"/>
      <c r="F73" s="1842"/>
      <c r="O73" s="1894" t="s">
        <v>1042</v>
      </c>
      <c r="P73" s="1885" t="s">
        <v>1563</v>
      </c>
      <c r="Q73" s="1886" t="e">
        <f ca="1">L58</f>
        <v>#N/A</v>
      </c>
      <c r="R73" s="1886" t="s">
        <v>1564</v>
      </c>
    </row>
    <row r="74" spans="1:18" ht="13.5" thickBot="1">
      <c r="A74" s="1842"/>
      <c r="B74" s="317" t="s">
        <v>1583</v>
      </c>
      <c r="C74" s="1936"/>
      <c r="D74" s="1842"/>
      <c r="E74" s="1842"/>
      <c r="F74" s="1842"/>
      <c r="O74" s="1894" t="s">
        <v>1049</v>
      </c>
      <c r="P74" s="1885" t="str">
        <f>K59</f>
        <v>建筑物剩余耐用年限下的土地年期修正系数Kn</v>
      </c>
      <c r="Q74" s="1886" t="e">
        <f ca="1">L59</f>
        <v>#N/A</v>
      </c>
      <c r="R74" s="1886" t="s">
        <v>1565</v>
      </c>
    </row>
    <row r="75" spans="1:18" ht="13.5" thickBot="1">
      <c r="A75" s="1842"/>
      <c r="B75" s="386" t="s">
        <v>1502</v>
      </c>
      <c r="C75" s="387" t="e">
        <f ca="1">ROUND(C13*C76,0)</f>
        <v>#N/A</v>
      </c>
      <c r="D75" s="1842"/>
      <c r="E75" s="1842"/>
      <c r="F75" s="1842"/>
      <c r="K75" s="1868"/>
      <c r="L75" s="1842"/>
      <c r="O75" s="1884" t="s">
        <v>1043</v>
      </c>
      <c r="P75" s="1885" t="s">
        <v>1545</v>
      </c>
      <c r="Q75" s="1886" t="e">
        <f ca="1">Q65+Q66</f>
        <v>#N/A</v>
      </c>
      <c r="R75" s="1886" t="s">
        <v>1044</v>
      </c>
    </row>
    <row r="76" spans="1:18">
      <c r="B76" s="388" t="s">
        <v>1503</v>
      </c>
      <c r="C76" s="389" t="e">
        <f ca="1">INDIRECT("'数据-取费表'!j"&amp;$G$1)</f>
        <v>#N/A</v>
      </c>
      <c r="I76" s="1842"/>
      <c r="J76" s="1842"/>
      <c r="K76" s="1868"/>
      <c r="L76" s="1842"/>
    </row>
    <row r="77" spans="1:18">
      <c r="B77" s="390" t="s">
        <v>1504</v>
      </c>
      <c r="C77" s="391"/>
      <c r="I77" s="1842"/>
      <c r="J77" s="1842"/>
      <c r="K77" s="1868"/>
      <c r="L77" s="1842"/>
    </row>
    <row r="78" spans="1:18">
      <c r="B78" s="314" t="s">
        <v>1505</v>
      </c>
      <c r="C78" s="392"/>
    </row>
    <row r="79" spans="1:18">
      <c r="B79" s="386" t="s">
        <v>1506</v>
      </c>
      <c r="C79" s="318" t="e">
        <f ca="1">1-C80</f>
        <v>#N/A</v>
      </c>
    </row>
    <row r="80" spans="1:18">
      <c r="B80" s="386" t="s">
        <v>1507</v>
      </c>
      <c r="C80" s="318" t="e">
        <f ca="1">ROUND(C75/C39,3)</f>
        <v>#N/A</v>
      </c>
    </row>
    <row r="81" spans="2:3">
      <c r="B81" s="314" t="s">
        <v>1508</v>
      </c>
      <c r="C81" s="282"/>
    </row>
    <row r="82" spans="2:3">
      <c r="B82" s="317" t="s">
        <v>1509</v>
      </c>
      <c r="C82" s="319" t="e">
        <f ca="1">1-C83</f>
        <v>#N/A</v>
      </c>
    </row>
    <row r="83" spans="2:3">
      <c r="B83" s="317" t="s">
        <v>1510</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20" sqref="K20"/>
    </sheetView>
  </sheetViews>
  <sheetFormatPr defaultColWidth="11" defaultRowHeight="13.5"/>
  <cols>
    <col min="1" max="16384" width="11" style="2981"/>
  </cols>
  <sheetData>
    <row r="1" spans="1:1">
      <c r="A1" s="2981" t="s">
        <v>3309</v>
      </c>
    </row>
  </sheetData>
  <phoneticPr fontId="143" type="noConversion"/>
  <pageMargins left="0.75" right="0.75" top="1" bottom="1" header="0.5" footer="0.5"/>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H41" sqref="H4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c r="D1" s="1820"/>
      <c r="E1" s="1821" t="s">
        <v>1383</v>
      </c>
      <c r="F1" s="1283" t="b">
        <f>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1586</v>
      </c>
      <c r="B2" s="1844" t="e">
        <f ca="1">ROUND(D2/10000,0)</f>
        <v>#DIV/0!</v>
      </c>
      <c r="C2" s="1845" t="s">
        <v>1587</v>
      </c>
      <c r="D2" s="1938" t="e">
        <f ca="1">C40+J29+L46</f>
        <v>#DIV/0!</v>
      </c>
      <c r="E2" s="1846" t="s">
        <v>1588</v>
      </c>
      <c r="F2" s="1847"/>
      <c r="G2" s="1848"/>
      <c r="H2" s="1840"/>
      <c r="I2" s="1840"/>
      <c r="J2" s="1840"/>
      <c r="K2" s="1841"/>
      <c r="L2" s="1840"/>
      <c r="M2" s="1840"/>
    </row>
    <row r="3" spans="1:37" ht="18" customHeight="1" thickBot="1">
      <c r="A3" s="1849" t="s">
        <v>1589</v>
      </c>
      <c r="B3" s="1850">
        <f ca="1">IF(ISERROR(D2/F43),0,ROUND(D2/F43,0))</f>
        <v>0</v>
      </c>
      <c r="C3" s="1845" t="s">
        <v>1590</v>
      </c>
      <c r="D3" s="1845"/>
      <c r="E3" s="1846"/>
      <c r="F3" s="1847"/>
      <c r="G3" s="1848"/>
      <c r="H3" s="744" t="s">
        <v>1584</v>
      </c>
      <c r="I3" s="1840"/>
      <c r="J3" s="1840"/>
      <c r="K3" s="1841"/>
      <c r="L3" s="1840"/>
      <c r="M3" s="1840"/>
    </row>
    <row r="4" spans="1:37" ht="18" customHeight="1">
      <c r="A4" s="340" t="s">
        <v>1591</v>
      </c>
      <c r="B4" s="341" t="s">
        <v>1592</v>
      </c>
      <c r="C4" s="341" t="s">
        <v>1593</v>
      </c>
      <c r="D4" s="341" t="s">
        <v>1594</v>
      </c>
      <c r="E4" s="342" t="s">
        <v>1595</v>
      </c>
      <c r="F4" s="343"/>
      <c r="G4" s="1851"/>
      <c r="H4" s="340" t="s">
        <v>1591</v>
      </c>
      <c r="I4" s="341" t="s">
        <v>1592</v>
      </c>
      <c r="J4" s="341" t="s">
        <v>1593</v>
      </c>
      <c r="K4" s="341" t="s">
        <v>1594</v>
      </c>
      <c r="L4" s="342" t="s">
        <v>1595</v>
      </c>
      <c r="M4" s="343"/>
    </row>
    <row r="5" spans="1:37" ht="18" customHeight="1">
      <c r="A5" s="344">
        <v>1</v>
      </c>
      <c r="B5" s="345" t="s">
        <v>1596</v>
      </c>
      <c r="C5" s="1292">
        <f ca="1">C6+C10+C12</f>
        <v>0</v>
      </c>
      <c r="D5" s="1822" t="s">
        <v>1597</v>
      </c>
      <c r="E5" s="1293"/>
      <c r="F5" s="1294"/>
      <c r="G5" s="1851"/>
      <c r="H5" s="344">
        <v>1</v>
      </c>
      <c r="I5" s="345" t="s">
        <v>1596</v>
      </c>
      <c r="J5" s="1292">
        <f ca="1">J6+J10+J12</f>
        <v>0</v>
      </c>
      <c r="K5" s="1822" t="s">
        <v>1597</v>
      </c>
      <c r="L5" s="1293"/>
      <c r="M5" s="1294"/>
    </row>
    <row r="6" spans="1:37" ht="18" customHeight="1">
      <c r="A6" s="1291" t="s">
        <v>1032</v>
      </c>
      <c r="B6" s="3395" t="s">
        <v>1399</v>
      </c>
      <c r="C6" s="1296">
        <f ca="1">ROUND(F6*F8*F7*(1-F9),0)</f>
        <v>0</v>
      </c>
      <c r="D6" s="164" t="s">
        <v>3023</v>
      </c>
      <c r="E6" s="347" t="s">
        <v>1401</v>
      </c>
      <c r="F6" s="348">
        <f ca="1">INDIRECT("'数据-取费表'!u"&amp;$G$1)</f>
        <v>0</v>
      </c>
      <c r="G6" s="1851"/>
      <c r="H6" s="1291" t="s">
        <v>1032</v>
      </c>
      <c r="I6" s="3395" t="s">
        <v>1399</v>
      </c>
      <c r="J6" s="346">
        <f ca="1">ROUND(M6*M8*M7*(1-M9),0)</f>
        <v>0</v>
      </c>
      <c r="K6" s="1834" t="s">
        <v>3024</v>
      </c>
      <c r="L6" s="347" t="s">
        <v>1401</v>
      </c>
      <c r="M6" s="348">
        <f ca="1">INDIRECT("'数据-取费表'!z"&amp;$G$1)</f>
        <v>0</v>
      </c>
    </row>
    <row r="7" spans="1:37" ht="18" customHeight="1">
      <c r="A7" s="1295"/>
      <c r="B7" s="3396"/>
      <c r="C7" s="1297"/>
      <c r="D7" s="352"/>
      <c r="E7" s="1298" t="s">
        <v>1402</v>
      </c>
      <c r="F7" s="348">
        <f ca="1">IF(INDIRECT("'数据-取费表'!ah"&amp;$G$1)="",INDIRECT("'数据-取费表'!k"&amp;$G$1),INDIRECT("'数据-取费表'!ah"&amp;$G$1))</f>
        <v>0</v>
      </c>
      <c r="G7" s="1851"/>
      <c r="H7" s="349"/>
      <c r="I7" s="3396"/>
      <c r="J7" s="351"/>
      <c r="K7" s="352"/>
      <c r="L7" s="347" t="s">
        <v>1402</v>
      </c>
      <c r="M7" s="348">
        <f ca="1">F7</f>
        <v>0</v>
      </c>
    </row>
    <row r="8" spans="1:37" ht="18" customHeight="1">
      <c r="A8" s="349"/>
      <c r="B8" s="3396"/>
      <c r="C8" s="351"/>
      <c r="D8" s="352"/>
      <c r="E8" s="347" t="s">
        <v>1403</v>
      </c>
      <c r="F8" s="348">
        <f ca="1">INDIRECT("'数据-取费表'!ai"&amp;$G$1)</f>
        <v>0</v>
      </c>
      <c r="G8" s="1851"/>
      <c r="H8" s="349"/>
      <c r="I8" s="3396"/>
      <c r="J8" s="351"/>
      <c r="K8" s="352"/>
      <c r="L8" s="347" t="s">
        <v>1403</v>
      </c>
      <c r="M8" s="348">
        <f ca="1">INDIRECT("'数据-取费表'!ai"&amp;$G$1)</f>
        <v>0</v>
      </c>
    </row>
    <row r="9" spans="1:37" ht="18" customHeight="1">
      <c r="A9" s="349"/>
      <c r="B9" s="3397"/>
      <c r="C9" s="351"/>
      <c r="D9" s="352"/>
      <c r="E9" s="347" t="s">
        <v>1404</v>
      </c>
      <c r="F9" s="357">
        <f ca="1">INDIRECT("'数据-取费表'!w"&amp;$G$1)</f>
        <v>0</v>
      </c>
      <c r="G9" s="1851"/>
      <c r="H9" s="349"/>
      <c r="I9" s="3397"/>
      <c r="J9" s="351"/>
      <c r="K9" s="352"/>
      <c r="L9" s="358" t="s">
        <v>1404</v>
      </c>
      <c r="M9" s="359">
        <f ca="1">INDIRECT("'数据-取费表'!ab"&amp;$G$1)</f>
        <v>0</v>
      </c>
    </row>
    <row r="10" spans="1:37" ht="18" customHeight="1">
      <c r="A10" s="1291" t="s">
        <v>1036</v>
      </c>
      <c r="B10" s="1823" t="s">
        <v>1405</v>
      </c>
      <c r="C10" s="361">
        <f ca="1">ROUND(IF(F10="押一",C6/12*F11,IF(F10="押二",C6/12*2*F11,IF(F10="押三",C6/12*3*F11,C11*F11))),0)</f>
        <v>0</v>
      </c>
      <c r="D10" s="1824" t="s">
        <v>3034</v>
      </c>
      <c r="E10" s="358" t="s">
        <v>1406</v>
      </c>
      <c r="F10" s="1366"/>
      <c r="G10" s="1851"/>
      <c r="H10" s="1291" t="s">
        <v>1036</v>
      </c>
      <c r="I10" s="1823" t="s">
        <v>1405</v>
      </c>
      <c r="J10" s="346">
        <f ca="1">ROUND(IF(M10="押一",J6/12*M11,IF(M10="押二",J6/12*2*M11,IF(M10="押三",J6/12*3*M11,J11*M11))),0)</f>
        <v>0</v>
      </c>
      <c r="K10" s="1835" t="s">
        <v>3036</v>
      </c>
      <c r="L10" s="358" t="s">
        <v>1406</v>
      </c>
      <c r="M10" s="1366"/>
    </row>
    <row r="11" spans="1:37" ht="18" customHeight="1">
      <c r="A11" s="353"/>
      <c r="B11" s="1825" t="s">
        <v>1598</v>
      </c>
      <c r="C11" s="1178"/>
      <c r="D11" s="352"/>
      <c r="E11" s="358" t="s">
        <v>1408</v>
      </c>
      <c r="F11" s="359">
        <f ca="1">'数据-取费表'!B39</f>
        <v>1.4999999999999999E-2</v>
      </c>
      <c r="G11" s="1851"/>
      <c r="H11" s="1299"/>
      <c r="I11" s="1825" t="s">
        <v>1599</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0</v>
      </c>
      <c r="D13" s="1331" t="s">
        <v>1411</v>
      </c>
      <c r="E13" s="1331" t="s">
        <v>1412</v>
      </c>
      <c r="F13" s="1332">
        <f ca="1">INDIRECT("'数据-取费表'!y"&amp;$G$1)</f>
        <v>0</v>
      </c>
      <c r="G13" s="1851"/>
      <c r="H13" s="1329">
        <v>2</v>
      </c>
      <c r="I13" s="1330" t="s">
        <v>1410</v>
      </c>
      <c r="J13" s="1290">
        <f ca="1">ROUND(J14*J15,0)</f>
        <v>0</v>
      </c>
      <c r="K13" s="1337" t="s">
        <v>1411</v>
      </c>
      <c r="L13" s="1852"/>
      <c r="M13" s="1853"/>
    </row>
    <row r="14" spans="1:37" ht="18" customHeight="1">
      <c r="A14" s="1201" t="s">
        <v>1031</v>
      </c>
      <c r="B14" s="347" t="s">
        <v>1413</v>
      </c>
      <c r="C14" s="363">
        <f ca="1">ROUND(INDIRECT("'数据-取费表'!l"&amp;$G$1)*F43+'数据-取费表'!L14*INDIRECT("'数据-取费表'!S"&amp;$G$1),0)</f>
        <v>0</v>
      </c>
      <c r="D14" s="1800" t="s">
        <v>1414</v>
      </c>
      <c r="E14" s="1794"/>
      <c r="F14" s="364"/>
      <c r="G14" s="1851"/>
      <c r="H14" s="1201" t="s">
        <v>1032</v>
      </c>
      <c r="I14" s="347" t="s">
        <v>1415</v>
      </c>
      <c r="J14" s="24">
        <f ca="1">C29</f>
        <v>0</v>
      </c>
      <c r="K14" s="15"/>
      <c r="L14" s="979"/>
      <c r="M14" s="980"/>
    </row>
    <row r="15" spans="1:37" s="1858" customFormat="1" ht="18" customHeight="1" thickBot="1">
      <c r="A15" s="1201" t="s">
        <v>1033</v>
      </c>
      <c r="B15" s="347" t="s">
        <v>1416</v>
      </c>
      <c r="C15" s="24">
        <f ca="1">ROUND(C14*F15,0)</f>
        <v>0</v>
      </c>
      <c r="D15" s="365" t="s">
        <v>1417</v>
      </c>
      <c r="E15" s="365" t="s">
        <v>1418</v>
      </c>
      <c r="F15" s="366">
        <f>'数据-取费表'!B33</f>
        <v>0.03</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ROUND(INDIRECT("'数据-取费表'!l"&amp;$G$1)*F43*F16,0)</f>
        <v>0</v>
      </c>
      <c r="D16" s="347" t="s">
        <v>1417</v>
      </c>
      <c r="E16" s="347" t="s">
        <v>1418</v>
      </c>
      <c r="F16" s="367">
        <f ca="1">IF(INDIRECT("'数据-取费表'!c"&amp;$G$1)="住宅",'数据-取费表'!B34,0)</f>
        <v>0</v>
      </c>
      <c r="G16" s="1851"/>
      <c r="H16" s="1329" t="s">
        <v>1027</v>
      </c>
      <c r="I16" s="1330" t="s">
        <v>1420</v>
      </c>
      <c r="J16" s="355">
        <f ca="1">ROUND(J17+J22+J23+J24,0)</f>
        <v>0</v>
      </c>
      <c r="K16" s="1337" t="s">
        <v>1421</v>
      </c>
      <c r="L16" s="1338"/>
      <c r="M16" s="1294"/>
    </row>
    <row r="17" spans="1:37" s="1858" customFormat="1" ht="18" customHeight="1">
      <c r="A17" s="1201" t="s">
        <v>1386</v>
      </c>
      <c r="B17" s="347" t="s">
        <v>1422</v>
      </c>
      <c r="C17" s="24">
        <f ca="1">ROUND(F17*(F43+INDIRECT("'数据-取费表'!S"&amp;$G$1)),0)</f>
        <v>0</v>
      </c>
      <c r="D17" s="347" t="s">
        <v>1423</v>
      </c>
      <c r="E17" s="347" t="s">
        <v>1424</v>
      </c>
      <c r="F17" s="26">
        <f>'数据-取费表'!B35</f>
        <v>200</v>
      </c>
      <c r="G17" s="1854"/>
      <c r="H17" s="1201" t="s">
        <v>1032</v>
      </c>
      <c r="I17" s="347" t="s">
        <v>1425</v>
      </c>
      <c r="J17" s="24">
        <f ca="1">ROUND(IF(项目基本情况!B11="自然人",J5*M17,J18+J19+J20),0)</f>
        <v>0</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0</v>
      </c>
      <c r="D18" s="347" t="s">
        <v>1417</v>
      </c>
      <c r="E18" s="347" t="s">
        <v>1418</v>
      </c>
      <c r="F18" s="367">
        <f>'数据-取费表'!B36</f>
        <v>1.4999999999999999E-2</v>
      </c>
      <c r="G18" s="1854"/>
      <c r="H18" s="1201" t="s">
        <v>1031</v>
      </c>
      <c r="I18" s="347" t="s">
        <v>1429</v>
      </c>
      <c r="J18" s="24">
        <f ca="1">ROUND(J5*M18/(1+'数据-取费表'!C42),0)</f>
        <v>0</v>
      </c>
      <c r="K18" s="1798" t="s">
        <v>1430</v>
      </c>
      <c r="L18" s="347" t="s">
        <v>1418</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0</v>
      </c>
      <c r="D19" s="140" t="s">
        <v>1432</v>
      </c>
      <c r="E19" s="1818"/>
      <c r="F19" s="26"/>
      <c r="G19" s="1851"/>
      <c r="H19" s="1201" t="s">
        <v>1033</v>
      </c>
      <c r="I19" s="347" t="s">
        <v>1433</v>
      </c>
      <c r="J19" s="24">
        <f ca="1">IF(K19="按租金收入计税",ROUND(J5*M19,0),ROUND(C29*M19*0.7,0))</f>
        <v>0</v>
      </c>
      <c r="K19" s="1828" t="s">
        <v>1434</v>
      </c>
      <c r="L19" s="347" t="s">
        <v>1418</v>
      </c>
      <c r="M19" s="367">
        <f>IF(K19="按租金收入计税",'数据-取费表'!B51,'数据-取费表'!B50)</f>
        <v>1.2E-2</v>
      </c>
    </row>
    <row r="20" spans="1:37" s="1858" customFormat="1" ht="18" customHeight="1">
      <c r="A20" s="1201" t="s">
        <v>1036</v>
      </c>
      <c r="B20" s="347" t="s">
        <v>1435</v>
      </c>
      <c r="C20" s="24">
        <f ca="1">ROUND(C19*F20,0)</f>
        <v>0</v>
      </c>
      <c r="D20" s="369" t="s">
        <v>1436</v>
      </c>
      <c r="E20" s="347" t="s">
        <v>1418</v>
      </c>
      <c r="F20" s="367">
        <f>'数据-取费表'!B37</f>
        <v>0.02</v>
      </c>
      <c r="G20" s="1854"/>
      <c r="H20" s="1201" t="s">
        <v>1385</v>
      </c>
      <c r="I20" s="164" t="s">
        <v>1437</v>
      </c>
      <c r="J20" s="25">
        <f ca="1">ROUND(M20*M21,0)</f>
        <v>0</v>
      </c>
      <c r="K20" s="370" t="s">
        <v>1438</v>
      </c>
      <c r="L20" s="347" t="s">
        <v>1439</v>
      </c>
      <c r="M20" s="371">
        <f>'数据-取费表'!B52</f>
        <v>2</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v>
      </c>
      <c r="D21" s="369" t="s">
        <v>1441</v>
      </c>
      <c r="E21" s="347" t="s">
        <v>1442</v>
      </c>
      <c r="F21" s="367">
        <f>'数据-取费表'!B38</f>
        <v>0.03</v>
      </c>
      <c r="G21" s="1854"/>
      <c r="H21" s="372"/>
      <c r="I21" s="356"/>
      <c r="J21" s="29"/>
      <c r="K21" s="373"/>
      <c r="L21" s="347" t="s">
        <v>1443</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ROUND(J14*M22,0)</f>
        <v>0</v>
      </c>
      <c r="K22" s="1798" t="s">
        <v>1446</v>
      </c>
      <c r="L22" s="347" t="s">
        <v>1418</v>
      </c>
      <c r="M22" s="374">
        <f ca="1">INDIRECT("'数据-取费表'!Ak"&amp;$G$1)</f>
        <v>0</v>
      </c>
    </row>
    <row r="23" spans="1:37" s="1858" customFormat="1" ht="18" customHeight="1">
      <c r="A23" s="1201"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1.5</v>
      </c>
      <c r="G23" s="1854"/>
      <c r="H23" s="1201" t="s">
        <v>1072</v>
      </c>
      <c r="I23" s="347" t="s">
        <v>1449</v>
      </c>
      <c r="J23" s="24">
        <f ca="1">ROUND(J13*M23,0)</f>
        <v>0</v>
      </c>
      <c r="K23" s="1798" t="s">
        <v>1450</v>
      </c>
      <c r="L23" s="347" t="s">
        <v>1451</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1.1000000000000001E-3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ROUND(J5*M24,0)</f>
        <v>0</v>
      </c>
      <c r="K24" s="1342" t="s">
        <v>1455</v>
      </c>
      <c r="L24" s="1340" t="s">
        <v>1451</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1456</v>
      </c>
      <c r="B25" s="347" t="s">
        <v>1457</v>
      </c>
      <c r="C25" s="24"/>
      <c r="D25" s="140" t="s">
        <v>1458</v>
      </c>
      <c r="E25" s="1818"/>
      <c r="F25" s="26"/>
      <c r="G25" s="1851"/>
      <c r="H25" s="1329" t="s">
        <v>1028</v>
      </c>
      <c r="I25" s="1344" t="s">
        <v>1459</v>
      </c>
      <c r="J25" s="355">
        <f ca="1">J5-J16</f>
        <v>0</v>
      </c>
      <c r="K25" s="1345" t="s">
        <v>1460</v>
      </c>
      <c r="L25" s="1346"/>
      <c r="M25" s="1347"/>
    </row>
    <row r="26" spans="1:37" ht="18" customHeight="1">
      <c r="A26" s="1201" t="s">
        <v>1031</v>
      </c>
      <c r="B26" s="347" t="s">
        <v>1461</v>
      </c>
      <c r="C26" s="24">
        <f ca="1">ROUND((C19+C20)*F26,0)</f>
        <v>0</v>
      </c>
      <c r="D26" s="369" t="s">
        <v>1462</v>
      </c>
      <c r="E26" s="358" t="s">
        <v>1463</v>
      </c>
      <c r="F26" s="357">
        <f ca="1">INDIRECT("'数据-取费表'!q"&amp;$G$1)</f>
        <v>0</v>
      </c>
      <c r="G26" s="1851"/>
      <c r="H26" s="344" t="s">
        <v>1029</v>
      </c>
      <c r="I26" s="345" t="s">
        <v>1464</v>
      </c>
      <c r="J26" s="346">
        <f ca="1">IF(J5&lt;&gt;0,ROUND(J25*(1-((1+M28)/(1+M26))^M27)/(M26-M28),0),0)</f>
        <v>0</v>
      </c>
      <c r="K26" s="370" t="s">
        <v>1465</v>
      </c>
      <c r="L26" s="347" t="s">
        <v>1466</v>
      </c>
      <c r="M26" s="357">
        <f ca="1">INDIRECT("'数据-取费表'!I"&amp;$G$1)</f>
        <v>0</v>
      </c>
    </row>
    <row r="27" spans="1:37" ht="18" customHeight="1">
      <c r="A27" s="1201" t="s">
        <v>1033</v>
      </c>
      <c r="B27" s="347" t="s">
        <v>1467</v>
      </c>
      <c r="C27" s="24">
        <f ca="1">ROUND(F21*F26,4)</f>
        <v>0</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5.33E-2</v>
      </c>
      <c r="D28" s="369" t="s">
        <v>1472</v>
      </c>
      <c r="E28" s="347" t="s">
        <v>1418</v>
      </c>
      <c r="F28" s="367">
        <f>'数据-取费表'!B41</f>
        <v>5.6000000000000001E-2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0</v>
      </c>
      <c r="D29" s="1342"/>
      <c r="E29" s="1340"/>
      <c r="F29" s="1343"/>
      <c r="G29" s="1854"/>
      <c r="H29" s="380" t="s">
        <v>1030</v>
      </c>
      <c r="I29" s="381" t="s">
        <v>1475</v>
      </c>
      <c r="J29" s="382">
        <f ca="1">ROUND(J26/(1+F40)^F41,0)</f>
        <v>0</v>
      </c>
      <c r="K29" s="383" t="s">
        <v>1476</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0</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ROUND(IF(项目基本情况!B11="自然人",C5*F31,C32+C33+C34),0)</f>
        <v>0</v>
      </c>
      <c r="D31" s="1800" t="s">
        <v>1426</v>
      </c>
      <c r="E31" s="179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IF(项目基本情况!B11="自然人","——",ROUND(C5*F32/(1+'数据-取费表'!C42),0))</f>
        <v>0</v>
      </c>
      <c r="D32" s="1798" t="s">
        <v>1430</v>
      </c>
      <c r="E32" s="347" t="s">
        <v>1418</v>
      </c>
      <c r="F32" s="377">
        <f>'数据-取费表'!B41</f>
        <v>5.6000000000000001E-2</v>
      </c>
      <c r="G32" s="1851"/>
      <c r="H32" s="745"/>
      <c r="I32" s="746"/>
      <c r="J32" s="747"/>
      <c r="K32" s="748"/>
      <c r="L32" s="749"/>
      <c r="M32" s="750"/>
    </row>
    <row r="33" spans="1:18" ht="18" customHeight="1">
      <c r="A33" s="1201" t="s">
        <v>1033</v>
      </c>
      <c r="B33" s="347" t="s">
        <v>1433</v>
      </c>
      <c r="C33" s="24">
        <f ca="1">IF(项目基本情况!B11="自然人","——",IF(D33="按租金收入计税",ROUND(C5*F33,0),IF(D33="按房产原值计税",ROUND(C29*F33*0.7,0),INDIRECT("'数据-取费表'!Aj"&amp;$G$1))))</f>
        <v>0</v>
      </c>
      <c r="D33" s="1828" t="s">
        <v>1434</v>
      </c>
      <c r="E33" s="347" t="s">
        <v>1418</v>
      </c>
      <c r="F33" s="367">
        <f>IF(D33="按票据","——",IF(D33="按租金收入计税",'数据-取费表'!B51,'数据-取费表'!B50))</f>
        <v>1.2E-2</v>
      </c>
      <c r="G33" s="1851"/>
      <c r="H33" s="1859"/>
      <c r="I33" s="1860"/>
      <c r="J33" s="1861"/>
      <c r="K33" s="1862"/>
      <c r="L33" s="1859"/>
      <c r="M33" s="1859"/>
    </row>
    <row r="34" spans="1:18" ht="18" customHeight="1">
      <c r="A34" s="1291" t="s">
        <v>1385</v>
      </c>
      <c r="B34" s="164" t="s">
        <v>1437</v>
      </c>
      <c r="C34" s="25">
        <f ca="1">IF(项目基本情况!B11="自然人","——",ROUND(F34*F35,))</f>
        <v>0</v>
      </c>
      <c r="D34" s="370" t="s">
        <v>1438</v>
      </c>
      <c r="E34" s="347" t="s">
        <v>1439</v>
      </c>
      <c r="F34" s="371">
        <f>'数据-取费表'!B52</f>
        <v>2</v>
      </c>
      <c r="G34" s="1851"/>
      <c r="H34" s="745"/>
      <c r="I34" s="1860"/>
      <c r="J34" s="1861"/>
      <c r="K34" s="1863"/>
      <c r="L34" s="1864"/>
      <c r="M34" s="1864"/>
    </row>
    <row r="35" spans="1:18" ht="18" customHeight="1">
      <c r="A35" s="1353"/>
      <c r="B35" s="1351"/>
      <c r="C35" s="29"/>
      <c r="D35" s="373"/>
      <c r="E35" s="347" t="s">
        <v>1443</v>
      </c>
      <c r="F35" s="348">
        <f ca="1">INDIRECT("'数据-取费表'!r"&amp;$G$1)</f>
        <v>0</v>
      </c>
      <c r="G35" s="1851"/>
      <c r="H35" s="745"/>
      <c r="I35" s="1860"/>
      <c r="J35" s="1861"/>
      <c r="K35" s="1862"/>
      <c r="L35" s="1859"/>
      <c r="M35" s="1859"/>
    </row>
    <row r="36" spans="1:18" ht="18" customHeight="1">
      <c r="A36" s="1352" t="s">
        <v>1036</v>
      </c>
      <c r="B36" s="347" t="s">
        <v>1445</v>
      </c>
      <c r="C36" s="24">
        <f ca="1">ROUND(C29*F36,0)</f>
        <v>0</v>
      </c>
      <c r="D36" s="1798" t="s">
        <v>1478</v>
      </c>
      <c r="E36" s="347" t="s">
        <v>1418</v>
      </c>
      <c r="F36" s="374">
        <f ca="1">INDIRECT("'数据-取费表'!Ak"&amp;$G$1)</f>
        <v>0</v>
      </c>
      <c r="G36" s="1851"/>
      <c r="H36" s="1859"/>
      <c r="I36" s="1860"/>
      <c r="J36" s="1861"/>
      <c r="K36" s="751"/>
      <c r="L36" s="1859"/>
      <c r="M36" s="1859"/>
    </row>
    <row r="37" spans="1:18" ht="18" customHeight="1">
      <c r="A37" s="1201" t="s">
        <v>1072</v>
      </c>
      <c r="B37" s="347" t="s">
        <v>1449</v>
      </c>
      <c r="C37" s="24">
        <f ca="1">ROUND(C13*F37,0)</f>
        <v>0</v>
      </c>
      <c r="D37" s="1798" t="s">
        <v>1450</v>
      </c>
      <c r="E37" s="347" t="s">
        <v>1451</v>
      </c>
      <c r="F37" s="376">
        <f ca="1">INDIRECT("'数据-取费表'!Al"&amp;$G$1)</f>
        <v>0</v>
      </c>
      <c r="G37" s="1851"/>
      <c r="H37" s="1859"/>
      <c r="I37" s="1860"/>
      <c r="J37" s="1861"/>
      <c r="K37" s="751"/>
      <c r="L37" s="1859"/>
      <c r="M37" s="1859"/>
    </row>
    <row r="38" spans="1:18" ht="18" customHeight="1" thickBot="1">
      <c r="A38" s="1339" t="s">
        <v>1389</v>
      </c>
      <c r="B38" s="1340" t="s">
        <v>1435</v>
      </c>
      <c r="C38" s="1341">
        <f ca="1">ROUND(C5*F38,1)</f>
        <v>0</v>
      </c>
      <c r="D38" s="1342" t="s">
        <v>1455</v>
      </c>
      <c r="E38" s="1340" t="s">
        <v>1451</v>
      </c>
      <c r="F38" s="1336">
        <f ca="1">INDIRECT("'数据-取费表'!Am"&amp;$G$1)</f>
        <v>0</v>
      </c>
      <c r="G38" s="1851"/>
      <c r="H38" s="1859"/>
      <c r="I38" s="1860"/>
      <c r="J38" s="1861"/>
      <c r="K38" s="1865"/>
      <c r="L38" s="1859"/>
      <c r="M38" s="1859"/>
    </row>
    <row r="39" spans="1:18" ht="24.6" customHeight="1" thickTop="1">
      <c r="A39" s="1329" t="s">
        <v>1028</v>
      </c>
      <c r="B39" s="1344" t="s">
        <v>1479</v>
      </c>
      <c r="C39" s="355">
        <f ca="1">C5-C30</f>
        <v>0</v>
      </c>
      <c r="D39" s="1345" t="s">
        <v>1480</v>
      </c>
      <c r="E39" s="1346"/>
      <c r="F39" s="1347"/>
      <c r="G39" s="1851"/>
      <c r="H39" s="1859"/>
      <c r="I39" s="1860"/>
      <c r="J39" s="1861"/>
      <c r="K39" s="1865"/>
      <c r="L39" s="1859"/>
      <c r="M39" s="1859"/>
    </row>
    <row r="40" spans="1:18" ht="18" customHeight="1">
      <c r="A40" s="344" t="s">
        <v>1029</v>
      </c>
      <c r="B40" s="345" t="s">
        <v>1481</v>
      </c>
      <c r="C40" s="346" t="e">
        <f ca="1">ROUND(C39*(1-((1+F42)/(1+F40))^F41)/(F40-F42),0)</f>
        <v>#DIV/0!</v>
      </c>
      <c r="D40" s="370" t="s">
        <v>1465</v>
      </c>
      <c r="E40" s="347" t="s">
        <v>1466</v>
      </c>
      <c r="F40" s="357">
        <f ca="1">INDIRECT("'数据-取费表'!I"&amp;$G$1)</f>
        <v>0</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1473</v>
      </c>
      <c r="F42" s="357">
        <f ca="1">INDIRECT("'数据-取费表'!v"&amp;$G$1)</f>
        <v>0</v>
      </c>
      <c r="G42" s="1851"/>
      <c r="H42" s="732"/>
      <c r="I42" s="1860"/>
      <c r="J42" s="1861"/>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1600</v>
      </c>
      <c r="E45" s="1866"/>
      <c r="F45" s="1866"/>
      <c r="O45" s="1869" t="s">
        <v>1515</v>
      </c>
      <c r="P45" s="1839"/>
      <c r="Q45" s="1839"/>
      <c r="R45" s="1839"/>
    </row>
    <row r="46" spans="1:18" s="1842" customFormat="1" ht="13.5" thickBot="1">
      <c r="A46" s="1870" t="s">
        <v>1516</v>
      </c>
      <c r="C46" s="1871" t="e">
        <f ca="1">ROUND(C45/10000,0)</f>
        <v>#DIV/0!</v>
      </c>
      <c r="D46" s="1872" t="str">
        <f>C2</f>
        <v>万元</v>
      </c>
      <c r="I46" s="1873" t="s">
        <v>1517</v>
      </c>
      <c r="J46" s="1874"/>
      <c r="K46" s="1875"/>
      <c r="L46" s="1876" t="e">
        <f ca="1">IF(M47="住宅",0,IF(L48&gt;J51,L60,J60))</f>
        <v>#DIV/0!</v>
      </c>
      <c r="O46" s="1877" t="s">
        <v>1518</v>
      </c>
      <c r="P46" s="1878" t="s">
        <v>1519</v>
      </c>
      <c r="Q46" s="1879" t="s">
        <v>1520</v>
      </c>
      <c r="R46" s="1879" t="s">
        <v>1521</v>
      </c>
    </row>
    <row r="47" spans="1:18" s="1842" customFormat="1" ht="13.5" thickBot="1">
      <c r="A47" s="1165" t="s">
        <v>1392</v>
      </c>
      <c r="B47" s="1197" t="s">
        <v>1393</v>
      </c>
      <c r="C47" s="1197" t="s">
        <v>1394</v>
      </c>
      <c r="D47" s="1197" t="s">
        <v>1395</v>
      </c>
      <c r="E47" s="1279" t="s">
        <v>1396</v>
      </c>
      <c r="F47" s="1280"/>
      <c r="G47" s="792"/>
      <c r="I47" s="1880" t="s">
        <v>1522</v>
      </c>
      <c r="J47" s="1881"/>
      <c r="K47" s="1882" t="s">
        <v>1523</v>
      </c>
      <c r="L47" s="1883">
        <f ca="1">INDIRECT("'数据-取费表'!d"&amp;$G$1)</f>
        <v>0</v>
      </c>
      <c r="M47" s="1838" t="str">
        <f>IF(ISNUMBER(FIND("住宅",C1)),"住宅","非住宅")</f>
        <v>非住宅</v>
      </c>
      <c r="O47" s="1884" t="s">
        <v>1037</v>
      </c>
      <c r="P47" s="1885" t="s">
        <v>1524</v>
      </c>
      <c r="Q47" s="1886" t="e">
        <f ca="1">C40+J29</f>
        <v>#DIV/0!</v>
      </c>
      <c r="R47" s="1886" t="s">
        <v>1525</v>
      </c>
    </row>
    <row r="48" spans="1:18" s="1842" customFormat="1" ht="28.5" thickBot="1">
      <c r="A48" s="1360" t="s">
        <v>1132</v>
      </c>
      <c r="B48" s="345" t="s">
        <v>1397</v>
      </c>
      <c r="C48" s="1817">
        <f ca="1">C49+C53+C55</f>
        <v>0</v>
      </c>
      <c r="D48" s="1362"/>
      <c r="E48" s="1363"/>
      <c r="F48" s="1181"/>
      <c r="G48" s="792"/>
      <c r="H48" s="793"/>
      <c r="I48" s="1887" t="s">
        <v>1526</v>
      </c>
      <c r="J48" s="1888"/>
      <c r="K48" s="1889" t="s">
        <v>1527</v>
      </c>
      <c r="L48" s="1890">
        <f ca="1">INDIRECT("'数据-取费表'!f"&amp;$G$1)</f>
        <v>0</v>
      </c>
      <c r="O48" s="1884" t="s">
        <v>1038</v>
      </c>
      <c r="P48" s="1885" t="s">
        <v>1528</v>
      </c>
      <c r="Q48" s="1886" t="e">
        <f ca="1">J60</f>
        <v>#DIV/0!</v>
      </c>
      <c r="R48" s="1886" t="s">
        <v>1529</v>
      </c>
    </row>
    <row r="49" spans="1:18" s="1842" customFormat="1" ht="13.5" thickBot="1">
      <c r="A49" s="1194" t="s">
        <v>1133</v>
      </c>
      <c r="B49" s="1829" t="s">
        <v>1486</v>
      </c>
      <c r="C49" s="1364">
        <f ca="1">ROUND(F49*F51*F50*(1-F52),0)</f>
        <v>0</v>
      </c>
      <c r="D49" s="1276" t="s">
        <v>1400</v>
      </c>
      <c r="E49" s="1830" t="s">
        <v>1487</v>
      </c>
      <c r="F49" s="1281"/>
      <c r="G49" s="1891"/>
      <c r="H49" s="793"/>
      <c r="I49" s="1887" t="s">
        <v>1530</v>
      </c>
      <c r="J49" s="1892"/>
      <c r="K49" s="1889" t="s">
        <v>1531</v>
      </c>
      <c r="L49" s="1893"/>
      <c r="O49" s="1894" t="s">
        <v>1039</v>
      </c>
      <c r="P49" s="1885" t="s">
        <v>1532</v>
      </c>
      <c r="Q49" s="1886">
        <f ca="1">C29</f>
        <v>0</v>
      </c>
      <c r="R49" s="1886" t="s">
        <v>1525</v>
      </c>
    </row>
    <row r="50" spans="1:18" s="1842" customFormat="1" ht="13.5" thickBot="1">
      <c r="A50" s="1195"/>
      <c r="B50" s="1198"/>
      <c r="C50" s="1199"/>
      <c r="D50" s="1172"/>
      <c r="E50" s="1277" t="s">
        <v>1402</v>
      </c>
      <c r="F50" s="1278">
        <f ca="1">F7</f>
        <v>0</v>
      </c>
      <c r="H50" s="793"/>
      <c r="I50" s="1887" t="s">
        <v>1533</v>
      </c>
      <c r="J50" s="1895">
        <f>SUMPRODUCT((I63:I65=J47)*(J62:L62=J48)*(J63:L65))</f>
        <v>0</v>
      </c>
      <c r="K50" s="1889" t="s">
        <v>1534</v>
      </c>
      <c r="L50" s="1893"/>
      <c r="M50" s="1896"/>
      <c r="O50" s="1894" t="s">
        <v>1040</v>
      </c>
      <c r="P50" s="1885" t="s">
        <v>1535</v>
      </c>
      <c r="Q50" s="1897" t="e">
        <f ca="1">J58</f>
        <v>#DIV/0!</v>
      </c>
      <c r="R50" s="1886"/>
    </row>
    <row r="51" spans="1:18" s="1842" customFormat="1" ht="13.5" thickBot="1">
      <c r="A51" s="1196"/>
      <c r="B51" s="1198"/>
      <c r="C51" s="1199"/>
      <c r="D51" s="1172"/>
      <c r="E51" s="1200" t="s">
        <v>1403</v>
      </c>
      <c r="F51" s="348">
        <f ca="1">F8</f>
        <v>0</v>
      </c>
      <c r="I51" s="1898" t="s">
        <v>1536</v>
      </c>
      <c r="J51" s="1899">
        <f>IF(J49="",J50,J49+J50-YEAR('数据-取费表'!B2))</f>
        <v>0</v>
      </c>
      <c r="K51" s="1900" t="s">
        <v>1537</v>
      </c>
      <c r="L51" s="1901">
        <f ca="1">ROUND(-PV(INDIRECT("'数据-取费表'!h"&amp;$G$1),L48,(C39-C13*C76),0),0)</f>
        <v>0</v>
      </c>
      <c r="M51" s="1902"/>
      <c r="O51" s="1894" t="s">
        <v>1041</v>
      </c>
      <c r="P51" s="1885" t="s">
        <v>1538</v>
      </c>
      <c r="Q51" s="1897">
        <f>J52</f>
        <v>0</v>
      </c>
      <c r="R51" s="1886"/>
    </row>
    <row r="52" spans="1:18" s="1842" customFormat="1" ht="13.5" thickBot="1">
      <c r="A52" s="1196"/>
      <c r="B52" s="1198"/>
      <c r="C52" s="1199"/>
      <c r="D52" s="1172"/>
      <c r="E52" s="1200" t="s">
        <v>1404</v>
      </c>
      <c r="F52" s="1275"/>
      <c r="I52" s="1903" t="s">
        <v>1539</v>
      </c>
      <c r="J52" s="1904"/>
      <c r="K52" s="1903" t="s">
        <v>1540</v>
      </c>
      <c r="L52" s="1904"/>
      <c r="O52" s="1894" t="s">
        <v>1042</v>
      </c>
      <c r="P52" s="1885" t="s">
        <v>1541</v>
      </c>
      <c r="Q52" s="1886" t="b">
        <f>J53</f>
        <v>0</v>
      </c>
      <c r="R52" s="1886" t="s">
        <v>1542</v>
      </c>
    </row>
    <row r="53" spans="1:18" s="1842" customFormat="1" ht="30.75" customHeight="1" thickBot="1">
      <c r="A53" s="1361" t="s">
        <v>1134</v>
      </c>
      <c r="B53" s="369" t="s">
        <v>1405</v>
      </c>
      <c r="C53" s="361">
        <f ca="1">ROUND(IF(F53="押一",C49/12*F11,IF(F53="押二",C49/12*2*F11,IF(F53="押三",C49/12*3*F11,C54*F11))),0)</f>
        <v>0</v>
      </c>
      <c r="D53" s="1824" t="s">
        <v>3037</v>
      </c>
      <c r="E53" s="358" t="s">
        <v>1406</v>
      </c>
      <c r="F53" s="1366"/>
      <c r="I53" s="1905" t="s">
        <v>1543</v>
      </c>
      <c r="J53" s="1906" t="b">
        <f>IF(M47="住宅",IF(D1="——",MAX(J51,L48),IF(D1="在建（套用方法）",MAX(J51,L48-'数据-取费表'!B24),MAX(J51,L48-'数据-取费表'!B20))),IF(D1="——",MIN(J51,L48),IF(D1="在建（套用方法）",MIN(J51,L48-'数据-取费表'!B24),IF(D1="土地（套用方法）",MIN(J51,L48-'数据-取费表'!B20)))))</f>
        <v>0</v>
      </c>
      <c r="K53" s="3393" t="s">
        <v>1544</v>
      </c>
      <c r="L53" s="3394"/>
      <c r="O53" s="1884" t="s">
        <v>1043</v>
      </c>
      <c r="P53" s="1885" t="s">
        <v>1545</v>
      </c>
      <c r="Q53" s="1886" t="e">
        <f ca="1">Q47+Q48</f>
        <v>#DIV/0!</v>
      </c>
      <c r="R53" s="1886" t="s">
        <v>1044</v>
      </c>
    </row>
    <row r="54" spans="1:18" s="1842" customFormat="1" ht="13.5" thickBot="1">
      <c r="A54" s="1194"/>
      <c r="B54" s="1941" t="s">
        <v>1599</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#DIV/0!</v>
      </c>
      <c r="K55" s="1912" t="s">
        <v>1548</v>
      </c>
      <c r="L55" s="1913"/>
      <c r="O55" s="1877" t="s">
        <v>1518</v>
      </c>
      <c r="P55" s="1878" t="s">
        <v>1519</v>
      </c>
      <c r="Q55" s="1879" t="s">
        <v>1520</v>
      </c>
      <c r="R55" s="1879" t="s">
        <v>1521</v>
      </c>
    </row>
    <row r="56" spans="1:18" s="1842" customFormat="1" ht="36" customHeight="1" thickTop="1" thickBot="1">
      <c r="A56" s="1176">
        <v>2</v>
      </c>
      <c r="B56" s="1177" t="s">
        <v>1410</v>
      </c>
      <c r="C56" s="276">
        <f ca="1">C13</f>
        <v>0</v>
      </c>
      <c r="D56" s="1914"/>
      <c r="E56" s="1915"/>
      <c r="F56" s="1907"/>
      <c r="I56" s="1916" t="s">
        <v>1550</v>
      </c>
      <c r="J56" s="1917"/>
      <c r="K56" s="1887" t="s">
        <v>1551</v>
      </c>
      <c r="L56" s="1890">
        <f ca="1">IF(L48&lt;J51,"——",L48-J51)</f>
        <v>0</v>
      </c>
      <c r="O56" s="1884" t="s">
        <v>1037</v>
      </c>
      <c r="P56" s="1885" t="s">
        <v>1524</v>
      </c>
      <c r="Q56" s="1886" t="e">
        <f ca="1">C40+J29</f>
        <v>#DIV/0!</v>
      </c>
      <c r="R56" s="1886" t="s">
        <v>1525</v>
      </c>
    </row>
    <row r="57" spans="1:18" s="1842" customFormat="1" ht="24.75" thickBot="1">
      <c r="A57" s="1918"/>
      <c r="B57" s="1169" t="s">
        <v>1474</v>
      </c>
      <c r="C57" s="282">
        <f ca="1">C29</f>
        <v>0</v>
      </c>
      <c r="D57" s="1919"/>
      <c r="E57" s="1920"/>
      <c r="F57" s="1921"/>
      <c r="I57" s="1922" t="s">
        <v>1552</v>
      </c>
      <c r="J57" s="1923">
        <f ca="1">IF(OR(M47="住宅",J51&lt;L48,J56="是"),"——",J51-L48)</f>
        <v>0</v>
      </c>
      <c r="K57" s="1887" t="s">
        <v>1601</v>
      </c>
      <c r="L57" s="1890">
        <f ca="1">IF(L48&lt;J51,"——",IF(L55="比较法",L49,IF(L55="基准地价",L50,L51)))</f>
        <v>0</v>
      </c>
      <c r="O57" s="1884" t="s">
        <v>1038</v>
      </c>
      <c r="P57" s="1885" t="s">
        <v>1602</v>
      </c>
      <c r="Q57" s="1886" t="e">
        <f ca="1">L60</f>
        <v>#DIV/0!</v>
      </c>
      <c r="R57" s="1886" t="s">
        <v>1603</v>
      </c>
    </row>
    <row r="58" spans="1:18" s="1842" customFormat="1" ht="24.75" thickBot="1">
      <c r="A58" s="360" t="s">
        <v>1027</v>
      </c>
      <c r="B58" s="1177" t="s">
        <v>1420</v>
      </c>
      <c r="C58" s="361">
        <f ca="1">ROUND(C59+C64+C65+C66,0)</f>
        <v>0</v>
      </c>
      <c r="D58" s="1179" t="s">
        <v>1421</v>
      </c>
      <c r="E58" s="1180"/>
      <c r="F58" s="1181"/>
      <c r="I58" s="1922" t="s">
        <v>1556</v>
      </c>
      <c r="J58" s="1924" t="e">
        <f ca="1">IF(J55&lt;0.4,0.4,J55)</f>
        <v>#DIV/0!</v>
      </c>
      <c r="K58" s="1900" t="s">
        <v>1604</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ROUND(IF(项目基本情况!B11="自然人",C48*F59,C60+C61+C62),0)</f>
        <v>0</v>
      </c>
      <c r="D59" s="1182" t="s">
        <v>1426</v>
      </c>
      <c r="E59" s="1183" t="s">
        <v>1427</v>
      </c>
      <c r="F59" s="368" t="str">
        <f ca="1">IF(项目基本情况!B11="企业","",IF(INDIRECT("'数据-取费表'!c"&amp;$G$1)="住宅",5%,IF(F49*F50*F51/12/(1+'数据-取费表'!C42)&gt;20000,12%,7%)))</f>
        <v/>
      </c>
      <c r="I59" s="1922" t="s">
        <v>1559</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IF(项目基本情况!B11="自然人","——",ROUND(C48*F60/(1+'数据-取费表'!C42),0))</f>
        <v>0</v>
      </c>
      <c r="D60" s="1183" t="s">
        <v>1430</v>
      </c>
      <c r="E60" s="1169" t="s">
        <v>1418</v>
      </c>
      <c r="F60" s="377">
        <f t="shared" ref="F60:F66" si="0">F32</f>
        <v>5.6000000000000001E-2</v>
      </c>
      <c r="I60" s="1925" t="s">
        <v>1561</v>
      </c>
      <c r="J60" s="1926" t="e">
        <f ca="1">IF(OR(M47="住宅",J51&lt;L48,J56="是"),"0",ROUND(J59/(1+J52)^J53,0))</f>
        <v>#DIV/0!</v>
      </c>
      <c r="K60" s="1927" t="s">
        <v>1562</v>
      </c>
      <c r="L60" s="1926" t="e">
        <f ca="1">IF(OR(M47="住宅",L48&lt;J51),0,ROUND(L57*(L58/L59-1),0))</f>
        <v>#DIV/0!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IF(项目基本情况!B11="自然人","——",IF(D61="按租金收入计税",ROUND(C48*F61,0),IF(D61="按房产原值计税",ROUND(C57*F61*0.7,0),INDIRECT("'数据-取费表'!Aj"&amp;$G$1))))</f>
        <v>0</v>
      </c>
      <c r="D61" s="1828" t="s">
        <v>1434</v>
      </c>
      <c r="E61" s="1169" t="s">
        <v>1490</v>
      </c>
      <c r="F61" s="367">
        <f t="shared" si="0"/>
        <v>1.2E-2</v>
      </c>
      <c r="I61" s="1928"/>
      <c r="J61" s="1928"/>
      <c r="K61" s="1928"/>
      <c r="L61" s="1928"/>
      <c r="O61" s="1894" t="s">
        <v>1042</v>
      </c>
      <c r="P61" s="1885" t="str">
        <f>K59</f>
        <v>建设期及建筑物耐用年限下的土地年期修正系数Kn</v>
      </c>
      <c r="Q61" s="1886" t="e">
        <f ca="1">L59</f>
        <v>#DIV/0!</v>
      </c>
      <c r="R61" s="1886" t="s">
        <v>1565</v>
      </c>
    </row>
    <row r="62" spans="1:18" s="1842" customFormat="1" ht="13.5" thickBot="1">
      <c r="A62" s="1201" t="s">
        <v>1491</v>
      </c>
      <c r="B62" s="1168" t="s">
        <v>1492</v>
      </c>
      <c r="C62" s="25">
        <f ca="1">IF(项目基本情况!B11="自然人","——",ROUND(F62*F63,0))</f>
        <v>0</v>
      </c>
      <c r="D62" s="1184" t="s">
        <v>1493</v>
      </c>
      <c r="E62" s="1169" t="s">
        <v>1494</v>
      </c>
      <c r="F62" s="371">
        <f t="shared" si="0"/>
        <v>2</v>
      </c>
      <c r="I62" s="1929" t="s">
        <v>1566</v>
      </c>
      <c r="J62" s="1930" t="s">
        <v>1567</v>
      </c>
      <c r="K62" s="1930" t="s">
        <v>1568</v>
      </c>
      <c r="L62" s="1930" t="s">
        <v>1569</v>
      </c>
      <c r="M62" s="1931" t="s">
        <v>1570</v>
      </c>
      <c r="O62" s="1884" t="s">
        <v>1043</v>
      </c>
      <c r="P62" s="1885" t="s">
        <v>1571</v>
      </c>
      <c r="Q62" s="1886" t="e">
        <f ca="1">Q56+Q57</f>
        <v>#DIV/0!</v>
      </c>
      <c r="R62" s="1886" t="s">
        <v>1044</v>
      </c>
    </row>
    <row r="63" spans="1:18" s="1842" customFormat="1" ht="13.5" thickBot="1">
      <c r="A63" s="372"/>
      <c r="B63" s="1175"/>
      <c r="C63" s="29"/>
      <c r="D63" s="1185"/>
      <c r="E63" s="1169" t="s">
        <v>1495</v>
      </c>
      <c r="F63" s="348">
        <f t="shared" ca="1" si="0"/>
        <v>0</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ROUND(C57*F64,0)</f>
        <v>0</v>
      </c>
      <c r="D64" s="1183" t="s">
        <v>1498</v>
      </c>
      <c r="E64" s="1169" t="s">
        <v>1490</v>
      </c>
      <c r="F64" s="374">
        <f t="shared" ca="1" si="0"/>
        <v>0</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ROUND(C56*F65,0)</f>
        <v>0</v>
      </c>
      <c r="D65" s="1183" t="s">
        <v>1450</v>
      </c>
      <c r="E65" s="1169" t="s">
        <v>1451</v>
      </c>
      <c r="F65" s="376">
        <f t="shared" ca="1" si="0"/>
        <v>0</v>
      </c>
      <c r="I65" s="1929" t="s">
        <v>1575</v>
      </c>
      <c r="J65" s="1930">
        <v>40</v>
      </c>
      <c r="K65" s="1930">
        <v>30</v>
      </c>
      <c r="L65" s="1930">
        <v>50</v>
      </c>
      <c r="M65" s="1932">
        <v>0.02</v>
      </c>
      <c r="O65" s="1884" t="s">
        <v>1037</v>
      </c>
      <c r="P65" s="1885" t="s">
        <v>1576</v>
      </c>
      <c r="Q65" s="1886" t="e">
        <f ca="1">C40+J29</f>
        <v>#DIV/0!</v>
      </c>
      <c r="R65" s="1886" t="s">
        <v>1525</v>
      </c>
    </row>
    <row r="66" spans="1:18" s="1842" customFormat="1" ht="16.5" thickBot="1">
      <c r="A66" s="1201" t="s">
        <v>1500</v>
      </c>
      <c r="B66" s="1169" t="s">
        <v>1435</v>
      </c>
      <c r="C66" s="24">
        <f ca="1">ROUND(C48*F66,0)</f>
        <v>0</v>
      </c>
      <c r="D66" s="1183" t="s">
        <v>1501</v>
      </c>
      <c r="E66" s="1169" t="s">
        <v>1418</v>
      </c>
      <c r="F66" s="357">
        <f t="shared" ca="1" si="0"/>
        <v>0</v>
      </c>
      <c r="O66" s="1884" t="s">
        <v>1038</v>
      </c>
      <c r="P66" s="1885" t="s">
        <v>1554</v>
      </c>
      <c r="Q66" s="1886" t="e">
        <f ca="1">L60</f>
        <v>#DIV/0!</v>
      </c>
      <c r="R66" s="1886" t="s">
        <v>1577</v>
      </c>
    </row>
    <row r="67" spans="1:18" s="1842" customFormat="1" ht="16.5" thickBot="1">
      <c r="A67" s="1176" t="s">
        <v>1028</v>
      </c>
      <c r="B67" s="1186" t="s">
        <v>1459</v>
      </c>
      <c r="C67" s="361">
        <f ca="1">C48-C58</f>
        <v>0</v>
      </c>
      <c r="D67" s="1182" t="s">
        <v>1460</v>
      </c>
      <c r="E67" s="1187"/>
      <c r="F67" s="1188"/>
      <c r="O67" s="1894" t="s">
        <v>1039</v>
      </c>
      <c r="P67" s="1885" t="s">
        <v>1558</v>
      </c>
      <c r="Q67" s="1933">
        <f ca="1">L51</f>
        <v>0</v>
      </c>
      <c r="R67" s="1886" t="s">
        <v>1578</v>
      </c>
    </row>
    <row r="68" spans="1:18" s="1842" customFormat="1" ht="16.5" thickBot="1">
      <c r="A68" s="1166" t="s">
        <v>1029</v>
      </c>
      <c r="B68" s="1167" t="s">
        <v>1481</v>
      </c>
      <c r="C68" s="346" t="e">
        <f ca="1">ROUND(C67*(1-((1+F70)/(1+F68))^F69)/(F68-F70),0)</f>
        <v>#DIV/0!</v>
      </c>
      <c r="D68" s="1184" t="s">
        <v>1465</v>
      </c>
      <c r="E68" s="1169" t="s">
        <v>1466</v>
      </c>
      <c r="F68" s="357">
        <f ca="1">F40</f>
        <v>0</v>
      </c>
      <c r="O68" s="1894" t="s">
        <v>1040</v>
      </c>
      <c r="P68" s="1934" t="s">
        <v>1579</v>
      </c>
      <c r="Q68" s="1886">
        <f ca="1">ROUND(Q69-Q70*Q71,0)</f>
        <v>0</v>
      </c>
      <c r="R68" s="1886" t="s">
        <v>1048</v>
      </c>
    </row>
    <row r="69" spans="1:18" s="1842" customFormat="1" ht="13.5" thickBot="1">
      <c r="A69" s="1170"/>
      <c r="B69" s="1171"/>
      <c r="C69" s="351"/>
      <c r="D69" s="1189" t="s">
        <v>1469</v>
      </c>
      <c r="E69" s="1169" t="s">
        <v>1470</v>
      </c>
      <c r="F69" s="379">
        <f ca="1">F41</f>
        <v>0</v>
      </c>
      <c r="O69" s="1894" t="s">
        <v>1045</v>
      </c>
      <c r="P69" s="1934" t="s">
        <v>1580</v>
      </c>
      <c r="Q69" s="1886">
        <f ca="1">C39</f>
        <v>0</v>
      </c>
      <c r="R69" s="1886" t="s">
        <v>1525</v>
      </c>
    </row>
    <row r="70" spans="1:18" s="1842" customFormat="1" ht="13.5" thickBot="1">
      <c r="A70" s="1173"/>
      <c r="B70" s="1174"/>
      <c r="C70" s="355"/>
      <c r="D70" s="1185"/>
      <c r="E70" s="1169" t="s">
        <v>1473</v>
      </c>
      <c r="F70" s="1275">
        <f ca="1">F42</f>
        <v>0</v>
      </c>
      <c r="O70" s="1894" t="s">
        <v>1046</v>
      </c>
      <c r="P70" s="1934" t="s">
        <v>1581</v>
      </c>
      <c r="Q70" s="1886">
        <f ca="1">C13</f>
        <v>0</v>
      </c>
      <c r="R70" s="1886" t="s">
        <v>1525</v>
      </c>
    </row>
    <row r="71" spans="1:18" s="1842" customFormat="1" ht="13.5" thickBot="1">
      <c r="A71" s="1190" t="s">
        <v>1030</v>
      </c>
      <c r="B71" s="1191" t="s">
        <v>1483</v>
      </c>
      <c r="C71" s="382" t="e">
        <f ca="1">ROUND(C68/F71,0)</f>
        <v>#DIV/0!</v>
      </c>
      <c r="D71" s="1192" t="s">
        <v>1484</v>
      </c>
      <c r="E71" s="1193" t="s">
        <v>1485</v>
      </c>
      <c r="F71" s="385">
        <f ca="1">F43</f>
        <v>0</v>
      </c>
      <c r="O71" s="1894" t="s">
        <v>1047</v>
      </c>
      <c r="P71" s="1934" t="s">
        <v>1582</v>
      </c>
      <c r="Q71" s="1897">
        <f ca="1">C76</f>
        <v>0</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建设期及建筑物耐用年限下的土地年期修正系数Kn</v>
      </c>
      <c r="Q74" s="1886" t="e">
        <f ca="1">L59</f>
        <v>#DIV/0!</v>
      </c>
      <c r="R74" s="1886" t="s">
        <v>1565</v>
      </c>
    </row>
    <row r="75" spans="1:18" ht="13.5" thickBot="1">
      <c r="A75" s="1842"/>
      <c r="B75" s="386" t="s">
        <v>1502</v>
      </c>
      <c r="C75" s="387">
        <f ca="1">ROUND(C13*C76,0)</f>
        <v>0</v>
      </c>
      <c r="D75" s="1842"/>
      <c r="E75" s="1842"/>
      <c r="F75" s="1842"/>
      <c r="K75" s="1868"/>
      <c r="L75" s="1842"/>
      <c r="O75" s="1884" t="s">
        <v>1043</v>
      </c>
      <c r="P75" s="1885" t="s">
        <v>1545</v>
      </c>
      <c r="Q75" s="1886" t="e">
        <f ca="1">Q65+Q66</f>
        <v>#DIV/0!</v>
      </c>
      <c r="R75" s="1886" t="s">
        <v>1044</v>
      </c>
    </row>
    <row r="76" spans="1:18">
      <c r="B76" s="388" t="s">
        <v>1503</v>
      </c>
      <c r="C76" s="389">
        <f ca="1">INDIRECT("'数据-取费表'!j"&amp;$G$1)</f>
        <v>0</v>
      </c>
      <c r="I76" s="1842"/>
      <c r="J76" s="1842"/>
      <c r="K76" s="1868"/>
      <c r="L76" s="1842"/>
    </row>
    <row r="77" spans="1:18">
      <c r="B77" s="390" t="s">
        <v>1504</v>
      </c>
      <c r="C77" s="391"/>
      <c r="I77" s="1842"/>
      <c r="J77" s="1842"/>
      <c r="K77" s="1868"/>
      <c r="L77" s="1842"/>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H41" sqref="H41"/>
    </sheetView>
  </sheetViews>
  <sheetFormatPr defaultRowHeight="13.5"/>
  <cols>
    <col min="1" max="1" width="10.5" customWidth="1"/>
    <col min="2" max="2" width="12.875" customWidth="1"/>
    <col min="3" max="3" width="8.75" customWidth="1"/>
  </cols>
  <sheetData>
    <row r="1" spans="1:9" ht="14.25">
      <c r="A1" s="3399" t="s">
        <v>1073</v>
      </c>
      <c r="B1" s="3400"/>
      <c r="C1" s="3401"/>
      <c r="D1" s="3402">
        <f>SUM(I10,I15,I20,I21,I23)</f>
        <v>0</v>
      </c>
      <c r="E1" s="3402"/>
      <c r="F1" s="3402"/>
      <c r="G1" s="3402"/>
      <c r="H1" s="3402"/>
      <c r="I1" s="3403"/>
    </row>
    <row r="2" spans="1:9">
      <c r="A2" s="3404" t="s">
        <v>1074</v>
      </c>
      <c r="B2" s="3405" t="s">
        <v>1075</v>
      </c>
      <c r="C2" s="3405"/>
      <c r="D2" s="1301" t="s">
        <v>1076</v>
      </c>
      <c r="E2" s="1301" t="s">
        <v>1077</v>
      </c>
      <c r="F2" s="1301" t="s">
        <v>1078</v>
      </c>
      <c r="G2" s="1301" t="s">
        <v>1079</v>
      </c>
      <c r="H2" s="1301" t="s">
        <v>1080</v>
      </c>
      <c r="I2" s="1302" t="s">
        <v>1081</v>
      </c>
    </row>
    <row r="3" spans="1:9">
      <c r="A3" s="3404"/>
      <c r="B3" s="3405" t="s">
        <v>1082</v>
      </c>
      <c r="C3" s="3405"/>
      <c r="D3" s="1303"/>
      <c r="E3" s="1301"/>
      <c r="F3" s="1304"/>
      <c r="G3" s="1304"/>
      <c r="H3" s="1305"/>
      <c r="I3" s="1306">
        <f>ROUND(D3*E3*F3*G3*H3/10000,0)</f>
        <v>0</v>
      </c>
    </row>
    <row r="4" spans="1:9">
      <c r="A4" s="3404"/>
      <c r="B4" s="3405" t="s">
        <v>1083</v>
      </c>
      <c r="C4" s="3405"/>
      <c r="D4" s="1303"/>
      <c r="E4" s="1301"/>
      <c r="F4" s="1304"/>
      <c r="G4" s="1304"/>
      <c r="H4" s="1305"/>
      <c r="I4" s="1306">
        <f t="shared" ref="I4:I9" si="0">ROUND(D4*E4*F4*G4*H4/10000,0)</f>
        <v>0</v>
      </c>
    </row>
    <row r="5" spans="1:9">
      <c r="A5" s="3404"/>
      <c r="B5" s="3405" t="s">
        <v>1084</v>
      </c>
      <c r="C5" s="3405"/>
      <c r="D5" s="1303"/>
      <c r="E5" s="1301"/>
      <c r="F5" s="1304"/>
      <c r="G5" s="1304"/>
      <c r="H5" s="1305"/>
      <c r="I5" s="1306">
        <f t="shared" si="0"/>
        <v>0</v>
      </c>
    </row>
    <row r="6" spans="1:9">
      <c r="A6" s="3404"/>
      <c r="B6" s="3405" t="s">
        <v>1085</v>
      </c>
      <c r="C6" s="3405"/>
      <c r="D6" s="1303"/>
      <c r="E6" s="1301"/>
      <c r="F6" s="1304"/>
      <c r="G6" s="1304"/>
      <c r="H6" s="1305"/>
      <c r="I6" s="1306">
        <f t="shared" si="0"/>
        <v>0</v>
      </c>
    </row>
    <row r="7" spans="1:9">
      <c r="A7" s="3404"/>
      <c r="B7" s="3405" t="s">
        <v>1086</v>
      </c>
      <c r="C7" s="3405"/>
      <c r="D7" s="1303"/>
      <c r="E7" s="1301"/>
      <c r="F7" s="1304"/>
      <c r="G7" s="1304"/>
      <c r="H7" s="1305"/>
      <c r="I7" s="1306">
        <f t="shared" si="0"/>
        <v>0</v>
      </c>
    </row>
    <row r="8" spans="1:9">
      <c r="A8" s="3404"/>
      <c r="B8" s="3405" t="s">
        <v>1087</v>
      </c>
      <c r="C8" s="3405"/>
      <c r="D8" s="1303"/>
      <c r="E8" s="1301"/>
      <c r="F8" s="1304"/>
      <c r="G8" s="1304"/>
      <c r="H8" s="1305"/>
      <c r="I8" s="1306">
        <f t="shared" si="0"/>
        <v>0</v>
      </c>
    </row>
    <row r="9" spans="1:9">
      <c r="A9" s="3404"/>
      <c r="B9" s="3405" t="s">
        <v>1088</v>
      </c>
      <c r="C9" s="3405"/>
      <c r="D9" s="1303"/>
      <c r="E9" s="1301"/>
      <c r="F9" s="1304"/>
      <c r="G9" s="1304"/>
      <c r="H9" s="1305"/>
      <c r="I9" s="1306">
        <f t="shared" si="0"/>
        <v>0</v>
      </c>
    </row>
    <row r="10" spans="1:9">
      <c r="A10" s="3404"/>
      <c r="B10" s="3406" t="s">
        <v>1089</v>
      </c>
      <c r="C10" s="3406"/>
      <c r="D10" s="1307"/>
      <c r="E10" s="1307" t="e">
        <f>ROUND(D1*10000/D10/H9,0)</f>
        <v>#DIV/0!</v>
      </c>
      <c r="F10" s="1308"/>
      <c r="G10" s="1308"/>
      <c r="H10" s="1309"/>
      <c r="I10" s="1310">
        <f>SUM(I3:I9)</f>
        <v>0</v>
      </c>
    </row>
    <row r="11" spans="1:9" ht="14.25">
      <c r="A11" s="3404" t="s">
        <v>1090</v>
      </c>
      <c r="B11" s="3405" t="s">
        <v>1091</v>
      </c>
      <c r="C11" s="3405"/>
      <c r="D11" s="1303" t="s">
        <v>1092</v>
      </c>
      <c r="E11" s="1303" t="s">
        <v>1093</v>
      </c>
      <c r="F11" s="1304" t="s">
        <v>1094</v>
      </c>
      <c r="G11" s="1304" t="s">
        <v>1080</v>
      </c>
      <c r="H11" s="1311" t="s">
        <v>1095</v>
      </c>
      <c r="I11" s="1302" t="s">
        <v>1081</v>
      </c>
    </row>
    <row r="12" spans="1:9">
      <c r="A12" s="3404"/>
      <c r="B12" s="3405" t="s">
        <v>1096</v>
      </c>
      <c r="C12" s="3405"/>
      <c r="D12" s="1303"/>
      <c r="E12" s="1303"/>
      <c r="F12" s="1304"/>
      <c r="G12" s="1305"/>
      <c r="H12" s="1312"/>
      <c r="I12" s="1302">
        <f>ROUND(D12*E12*F12*G12/10000,0)</f>
        <v>0</v>
      </c>
    </row>
    <row r="13" spans="1:9">
      <c r="A13" s="3404"/>
      <c r="B13" s="3405" t="s">
        <v>1097</v>
      </c>
      <c r="C13" s="3405"/>
      <c r="D13" s="1303"/>
      <c r="E13" s="1303"/>
      <c r="F13" s="1304"/>
      <c r="G13" s="1305"/>
      <c r="H13" s="1312"/>
      <c r="I13" s="1302">
        <f>ROUND(D13*E13*F13*G13/10000,0)</f>
        <v>0</v>
      </c>
    </row>
    <row r="14" spans="1:9">
      <c r="A14" s="3404"/>
      <c r="B14" s="3405" t="s">
        <v>1098</v>
      </c>
      <c r="C14" s="3405"/>
      <c r="D14" s="1303"/>
      <c r="E14" s="1303"/>
      <c r="F14" s="1304"/>
      <c r="G14" s="1305"/>
      <c r="H14" s="1312"/>
      <c r="I14" s="1302">
        <f>ROUND(D14*E14*F14*G14/10000,0)</f>
        <v>0</v>
      </c>
    </row>
    <row r="15" spans="1:9">
      <c r="A15" s="3404"/>
      <c r="B15" s="3406" t="s">
        <v>1089</v>
      </c>
      <c r="C15" s="3406"/>
      <c r="D15" s="1307"/>
      <c r="E15" s="1307">
        <f>SUM(E12:E14)</f>
        <v>0</v>
      </c>
      <c r="F15" s="1308"/>
      <c r="G15" s="1305"/>
      <c r="H15" s="1312"/>
      <c r="I15" s="1313">
        <f>SUM(I12:I14)</f>
        <v>0</v>
      </c>
    </row>
    <row r="16" spans="1:9" ht="24">
      <c r="A16" s="3404" t="s">
        <v>1099</v>
      </c>
      <c r="B16" s="3405" t="s">
        <v>1100</v>
      </c>
      <c r="C16" s="3405"/>
      <c r="D16" s="1303" t="s">
        <v>1076</v>
      </c>
      <c r="E16" s="1314" t="s">
        <v>1101</v>
      </c>
      <c r="F16" s="1304" t="s">
        <v>1102</v>
      </c>
      <c r="G16" s="1305" t="s">
        <v>1080</v>
      </c>
      <c r="H16" s="1311" t="s">
        <v>1095</v>
      </c>
      <c r="I16" s="1302" t="s">
        <v>1081</v>
      </c>
    </row>
    <row r="17" spans="1:9" ht="14.25">
      <c r="A17" s="3404"/>
      <c r="B17" s="3405" t="s">
        <v>1103</v>
      </c>
      <c r="C17" s="3405"/>
      <c r="D17" s="1303"/>
      <c r="E17" s="1303"/>
      <c r="F17" s="1304"/>
      <c r="G17" s="1305"/>
      <c r="H17" s="1315"/>
      <c r="I17" s="1316">
        <f>ROUND(D17*E17*F17*G17/10000,0)</f>
        <v>0</v>
      </c>
    </row>
    <row r="18" spans="1:9" ht="14.25">
      <c r="A18" s="3404"/>
      <c r="B18" s="3405" t="s">
        <v>1104</v>
      </c>
      <c r="C18" s="3405"/>
      <c r="D18" s="1303"/>
      <c r="E18" s="1303"/>
      <c r="F18" s="1304"/>
      <c r="G18" s="1305"/>
      <c r="H18" s="1315"/>
      <c r="I18" s="1316">
        <f>ROUND(D18*E18*F18*G18/10000,0)</f>
        <v>0</v>
      </c>
    </row>
    <row r="19" spans="1:9" ht="14.25">
      <c r="A19" s="3404"/>
      <c r="B19" s="3405" t="s">
        <v>1105</v>
      </c>
      <c r="C19" s="3405"/>
      <c r="D19" s="1303"/>
      <c r="E19" s="1303"/>
      <c r="F19" s="1304"/>
      <c r="G19" s="1305"/>
      <c r="H19" s="1315"/>
      <c r="I19" s="1316">
        <f>ROUND(D19*E19*F19*G19/10000,0)</f>
        <v>0</v>
      </c>
    </row>
    <row r="20" spans="1:9">
      <c r="A20" s="3404"/>
      <c r="B20" s="3406" t="s">
        <v>1089</v>
      </c>
      <c r="C20" s="3406"/>
      <c r="D20" s="1307">
        <f>SUM(D17:D19)</f>
        <v>0</v>
      </c>
      <c r="E20" s="1307"/>
      <c r="F20" s="1308"/>
      <c r="G20" s="1305"/>
      <c r="H20" s="1312"/>
      <c r="I20" s="1313">
        <f>SUM(I17:I19)</f>
        <v>0</v>
      </c>
    </row>
    <row r="21" spans="1:9">
      <c r="A21" s="3404" t="s">
        <v>1106</v>
      </c>
      <c r="B21" s="3408"/>
      <c r="C21" s="3408"/>
      <c r="D21" s="3408"/>
      <c r="E21" s="3408"/>
      <c r="F21" s="3408"/>
      <c r="G21" s="3408"/>
      <c r="H21" s="1765">
        <v>0.1</v>
      </c>
      <c r="I21" s="1310">
        <f>ROUND(I10*H21,0)</f>
        <v>0</v>
      </c>
    </row>
    <row r="22" spans="1:9" ht="14.25">
      <c r="A22" s="3409" t="s">
        <v>1107</v>
      </c>
      <c r="B22" s="3410"/>
      <c r="C22" s="3411"/>
      <c r="D22" s="1317" t="s">
        <v>1108</v>
      </c>
      <c r="E22" s="1317" t="s">
        <v>1109</v>
      </c>
      <c r="F22" s="1318" t="s">
        <v>1110</v>
      </c>
      <c r="G22" s="1318" t="s">
        <v>1111</v>
      </c>
      <c r="H22" s="1311" t="s">
        <v>1112</v>
      </c>
      <c r="I22" s="1302" t="s">
        <v>1113</v>
      </c>
    </row>
    <row r="23" spans="1:9" ht="14.25" thickBot="1">
      <c r="A23" s="3412"/>
      <c r="B23" s="3413"/>
      <c r="C23" s="3414"/>
      <c r="D23" s="1319"/>
      <c r="E23" s="1319"/>
      <c r="F23" s="1319"/>
      <c r="G23" s="1320"/>
      <c r="H23" s="1321"/>
      <c r="I23" s="1322">
        <f>ROUND(E23*D23*F23*(1-G23)/10000,0)</f>
        <v>0</v>
      </c>
    </row>
    <row r="26" spans="1:9">
      <c r="A26" s="1323" t="s">
        <v>1114</v>
      </c>
      <c r="B26" s="1323"/>
      <c r="C26" s="1323"/>
      <c r="D26" s="1323"/>
      <c r="E26" s="3415">
        <f>C27-C30-C31-C32</f>
        <v>0</v>
      </c>
      <c r="F26" s="3415"/>
      <c r="G26" s="3415"/>
      <c r="H26" s="1737" t="s">
        <v>1336</v>
      </c>
    </row>
    <row r="27" spans="1:9">
      <c r="A27" s="1324">
        <v>1</v>
      </c>
      <c r="B27" s="1325" t="s">
        <v>1115</v>
      </c>
      <c r="C27" s="1325">
        <f>C28+C29</f>
        <v>0</v>
      </c>
      <c r="D27" s="1325"/>
      <c r="E27" s="3416"/>
      <c r="F27" s="3416"/>
      <c r="G27" s="3416"/>
    </row>
    <row r="28" spans="1:9">
      <c r="A28" s="1326" t="s">
        <v>1116</v>
      </c>
      <c r="B28" s="1325" t="s">
        <v>1117</v>
      </c>
      <c r="C28" s="1325"/>
      <c r="D28" s="1325"/>
      <c r="E28" s="3416"/>
      <c r="F28" s="3416"/>
      <c r="G28" s="3416"/>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407"/>
      <c r="F32" s="3407"/>
      <c r="G32" s="3407"/>
    </row>
    <row r="33" spans="1:7" hidden="1">
      <c r="A33" s="3417" t="s">
        <v>1126</v>
      </c>
      <c r="B33" s="3418"/>
      <c r="C33" s="3418"/>
      <c r="D33" s="3419"/>
      <c r="E33" s="3415"/>
      <c r="F33" s="3415"/>
      <c r="G33" s="3415"/>
    </row>
    <row r="34" spans="1:7" hidden="1">
      <c r="A34" s="1328">
        <v>1</v>
      </c>
      <c r="B34" s="1325" t="s">
        <v>1127</v>
      </c>
      <c r="C34" s="1325"/>
      <c r="D34" s="1325"/>
      <c r="E34" s="3416"/>
      <c r="F34" s="3416"/>
      <c r="G34" s="3416"/>
    </row>
    <row r="35" spans="1:7" hidden="1">
      <c r="A35" s="1328">
        <v>2</v>
      </c>
      <c r="B35" s="1325" t="s">
        <v>1128</v>
      </c>
      <c r="C35" s="1325"/>
      <c r="D35" s="1325"/>
      <c r="E35" s="3416"/>
      <c r="F35" s="3416"/>
      <c r="G35" s="3416"/>
    </row>
    <row r="36" spans="1:7" hidden="1">
      <c r="A36" s="1328">
        <v>3</v>
      </c>
      <c r="B36" s="1325" t="s">
        <v>1129</v>
      </c>
      <c r="C36" s="1325"/>
      <c r="D36" s="1325"/>
      <c r="E36" s="3416"/>
      <c r="F36" s="3416"/>
      <c r="G36" s="3416"/>
    </row>
    <row r="37" spans="1:7" hidden="1">
      <c r="A37" s="1328">
        <v>4</v>
      </c>
      <c r="B37" s="1325" t="s">
        <v>1130</v>
      </c>
      <c r="C37" s="1325"/>
      <c r="D37" s="1325"/>
      <c r="E37" s="3416"/>
      <c r="F37" s="3416"/>
      <c r="G37" s="3416"/>
    </row>
    <row r="38" spans="1:7" hidden="1">
      <c r="A38" s="3417" t="s">
        <v>1131</v>
      </c>
      <c r="B38" s="3418"/>
      <c r="C38" s="3418"/>
      <c r="D38" s="3419"/>
      <c r="E38" s="3415"/>
      <c r="F38" s="3415"/>
      <c r="G38" s="341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2521</v>
      </c>
      <c r="B1" s="2581" t="s">
        <v>2522</v>
      </c>
      <c r="C1" s="1634" t="s">
        <v>2523</v>
      </c>
      <c r="D1" s="1621"/>
      <c r="E1" s="2582"/>
      <c r="F1" s="2583" t="s">
        <v>2524</v>
      </c>
      <c r="G1" s="1631" t="s">
        <v>2525</v>
      </c>
      <c r="H1" s="1630"/>
      <c r="I1" s="1630"/>
      <c r="J1" s="1630"/>
      <c r="K1" s="1632"/>
      <c r="L1" s="1633"/>
      <c r="M1" s="1634"/>
      <c r="N1" s="1634"/>
      <c r="O1" s="1634"/>
      <c r="P1" s="2584"/>
      <c r="Q1" s="1620"/>
      <c r="R1" s="1620"/>
      <c r="S1" s="1620"/>
      <c r="T1" s="1620"/>
      <c r="U1" s="1620"/>
      <c r="V1" s="1620"/>
      <c r="W1" s="1620"/>
      <c r="X1" s="1620"/>
      <c r="Y1" s="1620"/>
      <c r="Z1" s="1620"/>
      <c r="AA1" s="1620"/>
      <c r="AB1" s="1620"/>
      <c r="AC1" s="1628"/>
    </row>
    <row r="2" spans="1:29" s="393" customFormat="1" ht="28.5" customHeight="1" thickTop="1">
      <c r="A2" s="1617" t="s">
        <v>1390</v>
      </c>
      <c r="B2" s="1418" t="e">
        <f ca="1">IF(C2="——",ROUND(C49*D3/10000,0),ROUND(C49*D3/10000,0)-D2)</f>
        <v>#DIV/0!</v>
      </c>
      <c r="C2" s="2585"/>
      <c r="D2" s="1365" t="e">
        <f ca="1">SUMIF(INDIRECT("'"&amp;F2&amp;"'"&amp;"!A:A"),"承租人权益价值",INDIRECT("'"&amp;F2&amp;"'"&amp;"!c:c"))</f>
        <v>#REF!</v>
      </c>
      <c r="E2" s="2586" t="s">
        <v>2526</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1391</v>
      </c>
      <c r="B3" s="399" t="e">
        <f ca="1">IF(C2="——",C49,ROUND(B2*10000/D3,0))</f>
        <v>#DIV/0!</v>
      </c>
      <c r="C3" s="400" t="s">
        <v>2527</v>
      </c>
      <c r="D3" s="399">
        <f>IF(D1="",'数据-汇总表'!E3,SUMIF('数据-汇总表'!$C19:$C33,D1,'数据-汇总表'!$E19:$E33))</f>
        <v>193040.62000000002</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5">
      <c r="A4" s="401" t="s">
        <v>2528</v>
      </c>
      <c r="B4" s="402"/>
      <c r="C4" s="3358" t="s">
        <v>2529</v>
      </c>
      <c r="D4" s="3359"/>
      <c r="E4" s="3360" t="s">
        <v>2530</v>
      </c>
      <c r="F4" s="3361"/>
      <c r="G4" s="3358" t="s">
        <v>2531</v>
      </c>
      <c r="H4" s="3359"/>
      <c r="I4" s="3358" t="s">
        <v>2532</v>
      </c>
      <c r="J4" s="3359"/>
      <c r="K4" s="2595" t="s">
        <v>2533</v>
      </c>
      <c r="L4" s="1130"/>
      <c r="M4" s="1131"/>
      <c r="N4" s="1131"/>
      <c r="O4" s="1131"/>
      <c r="P4" s="3362" t="s">
        <v>2534</v>
      </c>
      <c r="Q4" s="3363"/>
      <c r="R4" s="3375" t="s">
        <v>2530</v>
      </c>
      <c r="S4" s="3376"/>
      <c r="T4" s="3375" t="s">
        <v>2531</v>
      </c>
      <c r="U4" s="3376"/>
      <c r="V4" s="3350" t="s">
        <v>2532</v>
      </c>
      <c r="W4" s="3350"/>
      <c r="X4" s="1813"/>
      <c r="Y4" s="3375" t="s">
        <v>2534</v>
      </c>
      <c r="Z4" s="3376"/>
      <c r="AA4" s="3355" t="s">
        <v>2530</v>
      </c>
      <c r="AB4" s="3355" t="s">
        <v>2531</v>
      </c>
      <c r="AC4" s="3355" t="s">
        <v>2532</v>
      </c>
    </row>
    <row r="5" spans="1:29" ht="15">
      <c r="A5" s="404"/>
      <c r="B5" s="405"/>
      <c r="C5" s="3379" t="s">
        <v>2535</v>
      </c>
      <c r="D5" s="3380"/>
      <c r="E5" s="3368" t="s">
        <v>2536</v>
      </c>
      <c r="F5" s="3369"/>
      <c r="G5" s="3379" t="s">
        <v>2537</v>
      </c>
      <c r="H5" s="3380"/>
      <c r="I5" s="3379" t="s">
        <v>2538</v>
      </c>
      <c r="J5" s="3380"/>
      <c r="K5" s="2596"/>
      <c r="L5" s="1130"/>
      <c r="M5" s="1131"/>
      <c r="N5" s="1131"/>
      <c r="O5" s="1131"/>
      <c r="P5" s="3364"/>
      <c r="Q5" s="3365"/>
      <c r="R5" s="3377"/>
      <c r="S5" s="3378"/>
      <c r="T5" s="3377"/>
      <c r="U5" s="3378"/>
      <c r="V5" s="3350"/>
      <c r="W5" s="3350"/>
      <c r="X5" s="1813"/>
      <c r="Y5" s="3377"/>
      <c r="Z5" s="3378"/>
      <c r="AA5" s="3356"/>
      <c r="AB5" s="3356"/>
      <c r="AC5" s="3356"/>
    </row>
    <row r="6" spans="1:29" ht="15.75" thickBot="1">
      <c r="A6" s="406"/>
      <c r="B6" s="407"/>
      <c r="C6" s="3420" t="s">
        <v>2539</v>
      </c>
      <c r="D6" s="3421"/>
      <c r="E6" s="3422" t="s">
        <v>2539</v>
      </c>
      <c r="F6" s="3423"/>
      <c r="G6" s="3420" t="s">
        <v>2539</v>
      </c>
      <c r="H6" s="3421"/>
      <c r="I6" s="3420" t="s">
        <v>2539</v>
      </c>
      <c r="J6" s="3421"/>
      <c r="K6" s="2596" t="s">
        <v>2540</v>
      </c>
      <c r="L6" s="1130"/>
      <c r="M6" s="1131"/>
      <c r="N6" s="1131"/>
      <c r="O6" s="1131"/>
      <c r="P6" s="3366"/>
      <c r="Q6" s="3367"/>
      <c r="R6" s="3377"/>
      <c r="S6" s="3378"/>
      <c r="T6" s="3386"/>
      <c r="U6" s="3387"/>
      <c r="V6" s="3350"/>
      <c r="W6" s="3350"/>
      <c r="X6" s="1813"/>
      <c r="Y6" s="3386"/>
      <c r="Z6" s="3387"/>
      <c r="AA6" s="3357"/>
      <c r="AB6" s="3357"/>
      <c r="AC6" s="3357"/>
    </row>
    <row r="7" spans="1:29" s="117" customFormat="1" ht="15.75" thickBot="1">
      <c r="A7" s="408" t="s">
        <v>2541</v>
      </c>
      <c r="B7" s="409"/>
      <c r="C7" s="410">
        <f>'数据-取费表'!B2</f>
        <v>43544</v>
      </c>
      <c r="D7" s="411">
        <v>100</v>
      </c>
      <c r="E7" s="412"/>
      <c r="F7" s="413">
        <f>SUMIF(58:58,YEAR(E7)&amp;"-"&amp;MONTH(E7),59:59)</f>
        <v>0</v>
      </c>
      <c r="G7" s="412"/>
      <c r="H7" s="411">
        <f>SUMIF(58:58,YEAR(G7)&amp;"-"&amp;MONTH(G7),59:59)</f>
        <v>0</v>
      </c>
      <c r="I7" s="412"/>
      <c r="J7" s="411">
        <f>SUMIF(58:58,YEAR(I7)&amp;"-"&amp;MONTH(I7),59:59)</f>
        <v>0</v>
      </c>
      <c r="K7" s="2597"/>
      <c r="L7" s="1132"/>
      <c r="M7" s="1133"/>
      <c r="N7" s="1133"/>
      <c r="O7" s="1133"/>
      <c r="P7" s="3370" t="s">
        <v>2542</v>
      </c>
      <c r="Q7" s="3383"/>
      <c r="R7" s="770" t="s">
        <v>23</v>
      </c>
      <c r="S7" s="771">
        <f t="shared" ref="S7:S15" si="0">F7</f>
        <v>0</v>
      </c>
      <c r="T7" s="770" t="s">
        <v>23</v>
      </c>
      <c r="U7" s="771">
        <f t="shared" ref="U7:U15" si="1">H7</f>
        <v>0</v>
      </c>
      <c r="V7" s="770" t="s">
        <v>23</v>
      </c>
      <c r="W7" s="771">
        <f t="shared" ref="W7:W15" si="2">J7</f>
        <v>0</v>
      </c>
      <c r="X7" s="772"/>
      <c r="Y7" s="3370" t="s">
        <v>2542</v>
      </c>
      <c r="Z7" s="3371"/>
      <c r="AA7" s="773" t="e">
        <f>D7/F7</f>
        <v>#DIV/0!</v>
      </c>
      <c r="AB7" s="773" t="e">
        <f>D7/H7</f>
        <v>#DIV/0!</v>
      </c>
      <c r="AC7" s="773" t="e">
        <f>D7/J7</f>
        <v>#DIV/0!</v>
      </c>
    </row>
    <row r="8" spans="1:29" s="117" customFormat="1" ht="15.75" thickBot="1">
      <c r="A8" s="408" t="s">
        <v>2543</v>
      </c>
      <c r="B8" s="409"/>
      <c r="C8" s="414" t="s">
        <v>2544</v>
      </c>
      <c r="D8" s="411">
        <v>100</v>
      </c>
      <c r="E8" s="2598"/>
      <c r="F8" s="413">
        <f>SUMIF(61:61,E8,62:62)-SUMIF(61:61,C8,62:62)+100</f>
        <v>0</v>
      </c>
      <c r="G8" s="414"/>
      <c r="H8" s="411">
        <f>SUMIF(61:61,G8,62:62)-SUMIF(61:61,C8,62:62)+100</f>
        <v>0</v>
      </c>
      <c r="I8" s="2598"/>
      <c r="J8" s="411">
        <f>SUMIF(61:61,I8,62:62)-SUMIF(61:61,C8,62:62)+100</f>
        <v>0</v>
      </c>
      <c r="K8" s="2597"/>
      <c r="L8" s="1132"/>
      <c r="M8" s="1133"/>
      <c r="N8" s="1133"/>
      <c r="O8" s="1133"/>
      <c r="P8" s="3370" t="s">
        <v>2545</v>
      </c>
      <c r="Q8" s="3371"/>
      <c r="R8" s="770" t="s">
        <v>23</v>
      </c>
      <c r="S8" s="771">
        <f t="shared" si="0"/>
        <v>0</v>
      </c>
      <c r="T8" s="770" t="s">
        <v>23</v>
      </c>
      <c r="U8" s="771">
        <f t="shared" si="1"/>
        <v>0</v>
      </c>
      <c r="V8" s="770" t="s">
        <v>23</v>
      </c>
      <c r="W8" s="771">
        <f t="shared" si="2"/>
        <v>0</v>
      </c>
      <c r="X8" s="772"/>
      <c r="Y8" s="3370" t="s">
        <v>2545</v>
      </c>
      <c r="Z8" s="3371"/>
      <c r="AA8" s="773" t="e">
        <f t="shared" ref="AA8:AA19" si="3">D8/F8</f>
        <v>#DIV/0!</v>
      </c>
      <c r="AB8" s="773" t="e">
        <f t="shared" ref="AB8:AB19" si="4">D8/H8</f>
        <v>#DIV/0!</v>
      </c>
      <c r="AC8" s="773" t="e">
        <f t="shared" ref="AC8:AC19" si="5">D8/J8</f>
        <v>#DIV/0!</v>
      </c>
    </row>
    <row r="9" spans="1:29" s="117" customFormat="1">
      <c r="A9" s="415" t="s">
        <v>2546</v>
      </c>
      <c r="B9" s="71" t="s">
        <v>2547</v>
      </c>
      <c r="C9" s="416"/>
      <c r="D9" s="135">
        <v>100</v>
      </c>
      <c r="E9" s="417"/>
      <c r="F9" s="418">
        <f>SUMIF(63:63,E9,64:64)-SUMIF(63:63,C9,64:64)+100</f>
        <v>100</v>
      </c>
      <c r="G9" s="419"/>
      <c r="H9" s="135">
        <f>SUMIF(63:63,G9,64:64)-SUMIF(63:63,C9,64:64)+100</f>
        <v>100</v>
      </c>
      <c r="I9" s="419"/>
      <c r="J9" s="135">
        <f>SUMIF(63:63,I9,64:64)-SUMIF(63:63,C9,64:64)+100</f>
        <v>100</v>
      </c>
      <c r="K9" s="2597"/>
      <c r="L9" s="1132"/>
      <c r="M9" s="1133"/>
      <c r="N9" s="1133"/>
      <c r="O9" s="1133"/>
      <c r="P9" s="3373" t="s">
        <v>2548</v>
      </c>
      <c r="Q9" s="1795" t="str">
        <f t="shared" ref="Q9:Q15" si="6">B9</f>
        <v>用途</v>
      </c>
      <c r="R9" s="770" t="s">
        <v>17</v>
      </c>
      <c r="S9" s="771">
        <f t="shared" si="0"/>
        <v>100</v>
      </c>
      <c r="T9" s="770" t="s">
        <v>17</v>
      </c>
      <c r="U9" s="771">
        <f t="shared" si="1"/>
        <v>100</v>
      </c>
      <c r="V9" s="770" t="s">
        <v>17</v>
      </c>
      <c r="W9" s="771">
        <f t="shared" si="2"/>
        <v>100</v>
      </c>
      <c r="X9" s="772"/>
      <c r="Y9" s="3204"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373"/>
      <c r="Q10" s="1795" t="str">
        <f t="shared" si="6"/>
        <v>土地使用年限（年）</v>
      </c>
      <c r="R10" s="770" t="s">
        <v>17</v>
      </c>
      <c r="S10" s="771">
        <f t="shared" si="0"/>
        <v>100</v>
      </c>
      <c r="T10" s="770" t="s">
        <v>17</v>
      </c>
      <c r="U10" s="771">
        <f t="shared" si="1"/>
        <v>100</v>
      </c>
      <c r="V10" s="770" t="s">
        <v>17</v>
      </c>
      <c r="W10" s="771">
        <f t="shared" si="2"/>
        <v>100</v>
      </c>
      <c r="X10" s="772"/>
      <c r="Y10" s="3204"/>
      <c r="Z10" s="55" t="str">
        <f t="shared" si="7"/>
        <v>土地使用年限（年）</v>
      </c>
      <c r="AA10" s="773">
        <f t="shared" si="3"/>
        <v>1</v>
      </c>
      <c r="AB10" s="773">
        <f t="shared" si="4"/>
        <v>1</v>
      </c>
      <c r="AC10" s="773">
        <f t="shared" si="5"/>
        <v>1</v>
      </c>
    </row>
    <row r="11" spans="1:29" ht="15">
      <c r="A11" s="428"/>
      <c r="B11" s="422" t="s">
        <v>2551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373"/>
      <c r="Q11" s="1795" t="str">
        <f t="shared" si="6"/>
        <v>容积率</v>
      </c>
      <c r="R11" s="770" t="s">
        <v>21</v>
      </c>
      <c r="S11" s="771" t="e">
        <f t="shared" si="0"/>
        <v>#N/A</v>
      </c>
      <c r="T11" s="770" t="s">
        <v>21</v>
      </c>
      <c r="U11" s="771" t="e">
        <f t="shared" si="1"/>
        <v>#N/A</v>
      </c>
      <c r="V11" s="770" t="s">
        <v>21</v>
      </c>
      <c r="W11" s="771" t="e">
        <f t="shared" si="2"/>
        <v>#N/A</v>
      </c>
      <c r="X11" s="772"/>
      <c r="Y11" s="3204"/>
      <c r="Z11" s="55" t="str">
        <f t="shared" si="7"/>
        <v>容积率</v>
      </c>
      <c r="AA11" s="773" t="e">
        <f t="shared" si="3"/>
        <v>#N/A</v>
      </c>
      <c r="AB11" s="773" t="e">
        <f t="shared" si="4"/>
        <v>#N/A</v>
      </c>
      <c r="AC11" s="773"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2"/>
      <c r="M12" s="1133"/>
      <c r="N12" s="1133"/>
      <c r="O12" s="1133"/>
      <c r="P12" s="3373"/>
      <c r="Q12" s="1795">
        <f t="shared" si="6"/>
        <v>111</v>
      </c>
      <c r="R12" s="770" t="s">
        <v>21</v>
      </c>
      <c r="S12" s="771">
        <f t="shared" si="0"/>
        <v>100</v>
      </c>
      <c r="T12" s="770" t="s">
        <v>21</v>
      </c>
      <c r="U12" s="771">
        <f t="shared" si="1"/>
        <v>100</v>
      </c>
      <c r="V12" s="770" t="s">
        <v>21</v>
      </c>
      <c r="W12" s="771">
        <f t="shared" si="2"/>
        <v>100</v>
      </c>
      <c r="X12" s="772"/>
      <c r="Y12" s="3204"/>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0"/>
      <c r="M13" s="1131"/>
      <c r="N13" s="1131"/>
      <c r="O13" s="1131"/>
      <c r="P13" s="3373"/>
      <c r="Q13" s="1795">
        <f t="shared" si="6"/>
        <v>111</v>
      </c>
      <c r="R13" s="770" t="s">
        <v>21</v>
      </c>
      <c r="S13" s="771">
        <f t="shared" si="0"/>
        <v>100</v>
      </c>
      <c r="T13" s="770" t="s">
        <v>21</v>
      </c>
      <c r="U13" s="771">
        <f t="shared" si="1"/>
        <v>100</v>
      </c>
      <c r="V13" s="770" t="s">
        <v>21</v>
      </c>
      <c r="W13" s="771">
        <f t="shared" si="2"/>
        <v>100</v>
      </c>
      <c r="X13" s="772"/>
      <c r="Y13" s="3204"/>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0"/>
      <c r="M14" s="1131"/>
      <c r="N14" s="1131"/>
      <c r="O14" s="1131"/>
      <c r="P14" s="3373"/>
      <c r="Q14" s="1795">
        <f t="shared" si="6"/>
        <v>111</v>
      </c>
      <c r="R14" s="770" t="s">
        <v>21</v>
      </c>
      <c r="S14" s="771">
        <f t="shared" si="0"/>
        <v>100</v>
      </c>
      <c r="T14" s="770" t="s">
        <v>21</v>
      </c>
      <c r="U14" s="771">
        <f t="shared" si="1"/>
        <v>100</v>
      </c>
      <c r="V14" s="770" t="s">
        <v>21</v>
      </c>
      <c r="W14" s="771">
        <f t="shared" si="2"/>
        <v>100</v>
      </c>
      <c r="X14" s="772"/>
      <c r="Y14" s="3204"/>
      <c r="Z14" s="55">
        <f t="shared" si="7"/>
        <v>111</v>
      </c>
      <c r="AA14" s="773">
        <f t="shared" si="3"/>
        <v>1</v>
      </c>
      <c r="AB14" s="773">
        <f t="shared" si="4"/>
        <v>1</v>
      </c>
      <c r="AC14" s="773">
        <f t="shared" si="5"/>
        <v>1</v>
      </c>
    </row>
    <row r="15" spans="1:29" ht="99.75">
      <c r="A15" s="440" t="s">
        <v>2552</v>
      </c>
      <c r="B15" s="69" t="s">
        <v>2079</v>
      </c>
      <c r="C15" s="2602"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430" t="s">
        <v>2553</v>
      </c>
      <c r="Q15" s="1810" t="str">
        <f t="shared" si="6"/>
        <v>居住社区成熟度</v>
      </c>
      <c r="R15" s="774" t="s">
        <v>21</v>
      </c>
      <c r="S15" s="775">
        <f t="shared" si="0"/>
        <v>100</v>
      </c>
      <c r="T15" s="774" t="s">
        <v>21</v>
      </c>
      <c r="U15" s="775">
        <f t="shared" si="1"/>
        <v>100</v>
      </c>
      <c r="V15" s="774" t="s">
        <v>21</v>
      </c>
      <c r="W15" s="775">
        <f t="shared" si="2"/>
        <v>100</v>
      </c>
      <c r="X15" s="1813"/>
      <c r="Y15" s="3351" t="s">
        <v>2553</v>
      </c>
      <c r="Z15" s="1814" t="str">
        <f t="shared" si="7"/>
        <v>居住社区成熟度</v>
      </c>
      <c r="AA15" s="1811">
        <f t="shared" si="3"/>
        <v>1</v>
      </c>
      <c r="AB15" s="1811">
        <f t="shared" si="4"/>
        <v>1</v>
      </c>
      <c r="AC15" s="1811">
        <f t="shared" si="5"/>
        <v>1</v>
      </c>
    </row>
    <row r="16" spans="1:29" ht="15">
      <c r="A16" s="428"/>
      <c r="B16" s="446"/>
      <c r="C16" s="447"/>
      <c r="D16" s="448"/>
      <c r="E16" s="2603"/>
      <c r="F16" s="448"/>
      <c r="G16" s="2604"/>
      <c r="H16" s="450"/>
      <c r="I16" s="2604"/>
      <c r="J16" s="448"/>
      <c r="K16" s="2605"/>
      <c r="L16" s="1140"/>
      <c r="M16" s="1131"/>
      <c r="N16" s="1131"/>
      <c r="O16" s="1131"/>
      <c r="P16" s="3431"/>
      <c r="Q16" s="1810"/>
      <c r="R16" s="774"/>
      <c r="S16" s="775"/>
      <c r="T16" s="774"/>
      <c r="U16" s="775"/>
      <c r="V16" s="774"/>
      <c r="W16" s="775"/>
      <c r="X16" s="1813"/>
      <c r="Y16" s="3352"/>
      <c r="Z16" s="1814"/>
      <c r="AA16" s="1811">
        <v>1</v>
      </c>
      <c r="AB16" s="1811">
        <v>1</v>
      </c>
      <c r="AC16" s="1811">
        <v>1</v>
      </c>
    </row>
    <row r="17" spans="1:29" ht="85.5">
      <c r="A17" s="428"/>
      <c r="B17" s="451" t="s">
        <v>2091</v>
      </c>
      <c r="C17" s="2606"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431"/>
      <c r="Q17" s="1810" t="str">
        <f>B17</f>
        <v>交通便捷度</v>
      </c>
      <c r="R17" s="774" t="s">
        <v>21</v>
      </c>
      <c r="S17" s="775">
        <f>F17</f>
        <v>100</v>
      </c>
      <c r="T17" s="774" t="s">
        <v>21</v>
      </c>
      <c r="U17" s="775">
        <f>H17</f>
        <v>100</v>
      </c>
      <c r="V17" s="774" t="s">
        <v>21</v>
      </c>
      <c r="W17" s="775">
        <f>J17</f>
        <v>100</v>
      </c>
      <c r="X17" s="1813"/>
      <c r="Y17" s="3352"/>
      <c r="Z17" s="1814" t="str">
        <f>Q17</f>
        <v>交通便捷度</v>
      </c>
      <c r="AA17" s="1811">
        <f t="shared" si="3"/>
        <v>1</v>
      </c>
      <c r="AB17" s="1811">
        <f t="shared" si="4"/>
        <v>1</v>
      </c>
      <c r="AC17" s="1811">
        <f t="shared" si="5"/>
        <v>1</v>
      </c>
    </row>
    <row r="18" spans="1:29" ht="15">
      <c r="A18" s="428"/>
      <c r="B18" s="456"/>
      <c r="C18" s="2607"/>
      <c r="D18" s="450"/>
      <c r="E18" s="2608"/>
      <c r="F18" s="450"/>
      <c r="G18" s="2609"/>
      <c r="H18" s="448"/>
      <c r="I18" s="2609"/>
      <c r="J18" s="448"/>
      <c r="K18" s="2605"/>
      <c r="L18" s="1140"/>
      <c r="M18" s="1131"/>
      <c r="N18" s="1131"/>
      <c r="O18" s="1131"/>
      <c r="P18" s="3431"/>
      <c r="Q18" s="1810"/>
      <c r="R18" s="774"/>
      <c r="S18" s="775"/>
      <c r="T18" s="774"/>
      <c r="U18" s="775"/>
      <c r="V18" s="774"/>
      <c r="W18" s="775"/>
      <c r="X18" s="1813"/>
      <c r="Y18" s="3352"/>
      <c r="Z18" s="1814"/>
      <c r="AA18" s="1811">
        <v>1</v>
      </c>
      <c r="AB18" s="1811">
        <v>1</v>
      </c>
      <c r="AC18" s="1811">
        <v>1</v>
      </c>
    </row>
    <row r="19" spans="1:29" ht="42.75">
      <c r="A19" s="428"/>
      <c r="B19" s="451" t="s">
        <v>2089</v>
      </c>
      <c r="C19" s="2606"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431"/>
      <c r="Q19" s="1810" t="str">
        <f>B19</f>
        <v>公共配套设施</v>
      </c>
      <c r="R19" s="774" t="s">
        <v>21</v>
      </c>
      <c r="S19" s="775">
        <f>F19</f>
        <v>100</v>
      </c>
      <c r="T19" s="774" t="s">
        <v>21</v>
      </c>
      <c r="U19" s="775">
        <f>H19</f>
        <v>100</v>
      </c>
      <c r="V19" s="774" t="s">
        <v>21</v>
      </c>
      <c r="W19" s="775">
        <f>J19</f>
        <v>100</v>
      </c>
      <c r="X19" s="1813"/>
      <c r="Y19" s="3352"/>
      <c r="Z19" s="1814" t="str">
        <f>Q19</f>
        <v>公共配套设施</v>
      </c>
      <c r="AA19" s="1811">
        <f t="shared" si="3"/>
        <v>1</v>
      </c>
      <c r="AB19" s="1811">
        <f t="shared" si="4"/>
        <v>1</v>
      </c>
      <c r="AC19" s="1811">
        <f t="shared" si="5"/>
        <v>1</v>
      </c>
    </row>
    <row r="20" spans="1:29" ht="15">
      <c r="A20" s="428"/>
      <c r="B20" s="456"/>
      <c r="C20" s="447"/>
      <c r="D20" s="448"/>
      <c r="E20" s="2603"/>
      <c r="F20" s="448"/>
      <c r="G20" s="2604"/>
      <c r="H20" s="448"/>
      <c r="I20" s="2604"/>
      <c r="J20" s="448"/>
      <c r="K20" s="2605"/>
      <c r="L20" s="1140"/>
      <c r="M20" s="1131"/>
      <c r="N20" s="1131"/>
      <c r="O20" s="1131"/>
      <c r="P20" s="3431"/>
      <c r="Q20" s="1810"/>
      <c r="R20" s="774"/>
      <c r="S20" s="775"/>
      <c r="T20" s="774"/>
      <c r="U20" s="775"/>
      <c r="V20" s="774"/>
      <c r="W20" s="775"/>
      <c r="X20" s="1813"/>
      <c r="Y20" s="3352"/>
      <c r="Z20" s="1814"/>
      <c r="AA20" s="1811">
        <v>1</v>
      </c>
      <c r="AB20" s="1811">
        <v>1</v>
      </c>
      <c r="AC20" s="1811">
        <v>1</v>
      </c>
    </row>
    <row r="21" spans="1:29" ht="28.5">
      <c r="A21" s="428"/>
      <c r="B21" s="1384" t="s">
        <v>2092</v>
      </c>
      <c r="C21" s="2606"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431"/>
      <c r="Q21" s="1810" t="str">
        <f>B21</f>
        <v>基础设施水平</v>
      </c>
      <c r="R21" s="774" t="s">
        <v>17</v>
      </c>
      <c r="S21" s="775">
        <f>F21</f>
        <v>100</v>
      </c>
      <c r="T21" s="774" t="s">
        <v>17</v>
      </c>
      <c r="U21" s="775">
        <f>H21</f>
        <v>100</v>
      </c>
      <c r="V21" s="774" t="s">
        <v>17</v>
      </c>
      <c r="W21" s="775">
        <f>J21</f>
        <v>100</v>
      </c>
      <c r="X21" s="1813"/>
      <c r="Y21" s="3352"/>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8"/>
      <c r="G22" s="2610"/>
      <c r="H22" s="448"/>
      <c r="I22" s="447"/>
      <c r="J22" s="448"/>
      <c r="K22" s="2611"/>
      <c r="L22" s="1140"/>
      <c r="M22" s="1131"/>
      <c r="N22" s="1131"/>
      <c r="O22" s="1131"/>
      <c r="P22" s="3431"/>
      <c r="Q22" s="1810"/>
      <c r="R22" s="774"/>
      <c r="S22" s="775"/>
      <c r="T22" s="774"/>
      <c r="U22" s="775"/>
      <c r="V22" s="774"/>
      <c r="W22" s="775"/>
      <c r="X22" s="1813"/>
      <c r="Y22" s="3352"/>
      <c r="Z22" s="1814"/>
      <c r="AA22" s="1811">
        <v>1</v>
      </c>
      <c r="AB22" s="1811">
        <v>1</v>
      </c>
      <c r="AC22" s="1811">
        <v>1</v>
      </c>
    </row>
    <row r="23" spans="1:29" ht="57">
      <c r="A23" s="428"/>
      <c r="B23" s="451" t="s">
        <v>2096</v>
      </c>
      <c r="C23" s="2606"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431"/>
      <c r="Q23" s="1810" t="str">
        <f>B23</f>
        <v>自然及人文环境</v>
      </c>
      <c r="R23" s="774" t="s">
        <v>21</v>
      </c>
      <c r="S23" s="775">
        <f>F23</f>
        <v>100</v>
      </c>
      <c r="T23" s="774" t="s">
        <v>21</v>
      </c>
      <c r="U23" s="775">
        <f>H23</f>
        <v>100</v>
      </c>
      <c r="V23" s="774" t="s">
        <v>21</v>
      </c>
      <c r="W23" s="775">
        <f>J23</f>
        <v>100</v>
      </c>
      <c r="X23" s="1813"/>
      <c r="Y23" s="3352"/>
      <c r="Z23" s="1814" t="str">
        <f>Q23</f>
        <v>自然及人文环境</v>
      </c>
      <c r="AA23" s="1811">
        <f>D23/F23</f>
        <v>1</v>
      </c>
      <c r="AB23" s="1811">
        <f>D23/H23</f>
        <v>1</v>
      </c>
      <c r="AC23" s="1811">
        <f>D23/J23</f>
        <v>1</v>
      </c>
    </row>
    <row r="24" spans="1:29" ht="15">
      <c r="A24" s="428"/>
      <c r="B24" s="456"/>
      <c r="C24" s="447"/>
      <c r="D24" s="448"/>
      <c r="E24" s="2603"/>
      <c r="F24" s="448"/>
      <c r="G24" s="2604"/>
      <c r="H24" s="448"/>
      <c r="I24" s="2604"/>
      <c r="J24" s="448"/>
      <c r="K24" s="2605"/>
      <c r="L24" s="1140"/>
      <c r="M24" s="1131"/>
      <c r="N24" s="1131"/>
      <c r="O24" s="1131"/>
      <c r="P24" s="3431"/>
      <c r="Q24" s="1810"/>
      <c r="R24" s="774"/>
      <c r="S24" s="775"/>
      <c r="T24" s="774"/>
      <c r="U24" s="775"/>
      <c r="V24" s="774"/>
      <c r="W24" s="775"/>
      <c r="X24" s="1813"/>
      <c r="Y24" s="3352"/>
      <c r="Z24" s="1814"/>
      <c r="AA24" s="1811">
        <v>1</v>
      </c>
      <c r="AB24" s="1811">
        <v>1</v>
      </c>
      <c r="AC24" s="1811">
        <v>1</v>
      </c>
    </row>
    <row r="25" spans="1:29" ht="15">
      <c r="A25" s="428"/>
      <c r="B25" s="422" t="s">
        <v>2554</v>
      </c>
      <c r="C25" s="460"/>
      <c r="D25" s="435">
        <v>100</v>
      </c>
      <c r="E25" s="2612"/>
      <c r="F25" s="435">
        <f>SUMIF(86:86,E25,87:87)-SUMIF(86:86,C25,87:87)+100</f>
        <v>100</v>
      </c>
      <c r="G25" s="2613"/>
      <c r="H25" s="435">
        <f>SUMIF(86:86,G25,87:87)-SUMIF(86:86,C25,87:87)+100</f>
        <v>100</v>
      </c>
      <c r="I25" s="2613"/>
      <c r="J25" s="435">
        <f>SUMIF(86:86,I25,87:87)-SUMIF(86:86,C25,87:87)+100</f>
        <v>100</v>
      </c>
      <c r="K25" s="426"/>
      <c r="L25" s="1140"/>
      <c r="M25" s="1131"/>
      <c r="N25" s="1131"/>
      <c r="O25" s="1131"/>
      <c r="P25" s="3431"/>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352"/>
      <c r="Z25" s="1814" t="str">
        <f>Q25</f>
        <v>楼层-1</v>
      </c>
      <c r="AA25" s="1811">
        <f t="shared" ref="AA25:AA46" si="15">D25/F25</f>
        <v>1</v>
      </c>
      <c r="AB25" s="1811">
        <f t="shared" ref="AB25:AB46" si="16">D25/H25</f>
        <v>1</v>
      </c>
      <c r="AC25" s="1811">
        <f t="shared" ref="AC25:AC46" si="17">D25/J25</f>
        <v>1</v>
      </c>
    </row>
    <row r="26" spans="1:29" ht="15">
      <c r="A26" s="428"/>
      <c r="B26" s="422" t="s">
        <v>2555</v>
      </c>
      <c r="C26" s="460"/>
      <c r="D26" s="435">
        <v>100</v>
      </c>
      <c r="E26" s="2612"/>
      <c r="F26" s="435">
        <f>SUMIF(88:88,E26,89:89)-SUMIF(88:88,C26,89:89)+100</f>
        <v>100</v>
      </c>
      <c r="G26" s="2613"/>
      <c r="H26" s="435">
        <f>SUMIF(88:88,G26,89:89)-SUMIF(88:88,C26,89:89)+100</f>
        <v>100</v>
      </c>
      <c r="I26" s="2613"/>
      <c r="J26" s="435">
        <f>SUMIF(88:88,I26,89:89)-SUMIF(88:88,C26,89:89)+100</f>
        <v>100</v>
      </c>
      <c r="K26" s="426"/>
      <c r="L26" s="1140"/>
      <c r="M26" s="1131"/>
      <c r="N26" s="1131"/>
      <c r="O26" s="1131"/>
      <c r="P26" s="3431"/>
      <c r="Q26" s="1810" t="str">
        <f t="shared" si="11"/>
        <v>朝向</v>
      </c>
      <c r="R26" s="774" t="s">
        <v>21</v>
      </c>
      <c r="S26" s="775">
        <f t="shared" si="12"/>
        <v>100</v>
      </c>
      <c r="T26" s="774" t="s">
        <v>21</v>
      </c>
      <c r="U26" s="775">
        <f t="shared" si="13"/>
        <v>100</v>
      </c>
      <c r="V26" s="774" t="s">
        <v>21</v>
      </c>
      <c r="W26" s="775">
        <f t="shared" si="14"/>
        <v>100</v>
      </c>
      <c r="X26" s="1813"/>
      <c r="Y26" s="3352"/>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0"/>
      <c r="L27" s="1132"/>
      <c r="M27" s="1133"/>
      <c r="N27" s="1133"/>
      <c r="O27" s="1133"/>
      <c r="P27" s="3431"/>
      <c r="Q27" s="1795">
        <f t="shared" si="11"/>
        <v>111</v>
      </c>
      <c r="R27" s="770" t="s">
        <v>21</v>
      </c>
      <c r="S27" s="771">
        <f t="shared" si="12"/>
        <v>100</v>
      </c>
      <c r="T27" s="770" t="s">
        <v>21</v>
      </c>
      <c r="U27" s="771">
        <f t="shared" si="13"/>
        <v>100</v>
      </c>
      <c r="V27" s="770" t="s">
        <v>21</v>
      </c>
      <c r="W27" s="771">
        <f t="shared" si="14"/>
        <v>100</v>
      </c>
      <c r="X27" s="772"/>
      <c r="Y27" s="3352"/>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4"/>
      <c r="H28" s="435">
        <f>SUMIF(92:92,G28,93:93)-SUMIF(92:92,C28,93:93)+100</f>
        <v>100</v>
      </c>
      <c r="I28" s="434"/>
      <c r="J28" s="435">
        <f>SUMIF(92:92,I28,93:93)-SUMIF(92:92,C28,93:93)+100</f>
        <v>100</v>
      </c>
      <c r="K28" s="2600"/>
      <c r="L28" s="1140"/>
      <c r="M28" s="1131"/>
      <c r="N28" s="1131"/>
      <c r="O28" s="1131"/>
      <c r="P28" s="3431"/>
      <c r="Q28" s="1810">
        <f t="shared" si="11"/>
        <v>111</v>
      </c>
      <c r="R28" s="774" t="s">
        <v>21</v>
      </c>
      <c r="S28" s="775">
        <f t="shared" si="12"/>
        <v>100</v>
      </c>
      <c r="T28" s="774" t="s">
        <v>21</v>
      </c>
      <c r="U28" s="775">
        <f t="shared" si="13"/>
        <v>100</v>
      </c>
      <c r="V28" s="774" t="s">
        <v>21</v>
      </c>
      <c r="W28" s="775">
        <f t="shared" si="14"/>
        <v>100</v>
      </c>
      <c r="X28" s="1813"/>
      <c r="Y28" s="3352"/>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4"/>
      <c r="H29" s="435">
        <f>SUMIF(94:94,G29,95:95)-SUMIF(94:94,C29,95:95)+100</f>
        <v>100</v>
      </c>
      <c r="I29" s="434"/>
      <c r="J29" s="435">
        <f>SUMIF(94:94,I29,95:95)-SUMIF(94:94,C29,95:95)+100</f>
        <v>100</v>
      </c>
      <c r="K29" s="2600"/>
      <c r="L29" s="1140"/>
      <c r="M29" s="1131"/>
      <c r="N29" s="1131"/>
      <c r="O29" s="1131"/>
      <c r="P29" s="3431"/>
      <c r="Q29" s="1810">
        <f t="shared" si="11"/>
        <v>111</v>
      </c>
      <c r="R29" s="774" t="s">
        <v>21</v>
      </c>
      <c r="S29" s="775">
        <f t="shared" si="12"/>
        <v>100</v>
      </c>
      <c r="T29" s="774" t="s">
        <v>21</v>
      </c>
      <c r="U29" s="775">
        <f t="shared" si="13"/>
        <v>100</v>
      </c>
      <c r="V29" s="774" t="s">
        <v>21</v>
      </c>
      <c r="W29" s="775">
        <f t="shared" si="14"/>
        <v>100</v>
      </c>
      <c r="X29" s="1813"/>
      <c r="Y29" s="3352"/>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4"/>
      <c r="H30" s="435">
        <f>SUMIF(96:96,G30,97:97)-SUMIF(96:96,C30,97:97)+100</f>
        <v>100</v>
      </c>
      <c r="I30" s="434"/>
      <c r="J30" s="435">
        <f>SUMIF(96:96,I30,97:97)-SUMIF(96:96,C30,97:97)+100</f>
        <v>100</v>
      </c>
      <c r="K30" s="2600"/>
      <c r="L30" s="1140"/>
      <c r="M30" s="1131"/>
      <c r="N30" s="1131"/>
      <c r="O30" s="1131"/>
      <c r="P30" s="3431"/>
      <c r="Q30" s="1810">
        <f t="shared" si="11"/>
        <v>111</v>
      </c>
      <c r="R30" s="774" t="s">
        <v>21</v>
      </c>
      <c r="S30" s="775">
        <f t="shared" si="12"/>
        <v>100</v>
      </c>
      <c r="T30" s="774" t="s">
        <v>21</v>
      </c>
      <c r="U30" s="775">
        <f t="shared" si="13"/>
        <v>100</v>
      </c>
      <c r="V30" s="774" t="s">
        <v>21</v>
      </c>
      <c r="W30" s="775">
        <f t="shared" si="14"/>
        <v>100</v>
      </c>
      <c r="X30" s="1813"/>
      <c r="Y30" s="3352"/>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5"/>
      <c r="H31" s="438">
        <f>SUMIF(98:98,G31,99:99)-SUMIF(98:98,C31,99:99)+100</f>
        <v>100</v>
      </c>
      <c r="I31" s="437"/>
      <c r="J31" s="438">
        <f>SUMIF(98:98,I31,99:99)-SUMIF(98:98,C31,99:99)+100</f>
        <v>100</v>
      </c>
      <c r="K31" s="2600"/>
      <c r="L31" s="1140"/>
      <c r="M31" s="1131"/>
      <c r="N31" s="1131"/>
      <c r="O31" s="1131"/>
      <c r="P31" s="3431"/>
      <c r="Q31" s="1810">
        <f t="shared" si="11"/>
        <v>111</v>
      </c>
      <c r="R31" s="774" t="s">
        <v>21</v>
      </c>
      <c r="S31" s="775">
        <f t="shared" si="12"/>
        <v>100</v>
      </c>
      <c r="T31" s="774" t="s">
        <v>21</v>
      </c>
      <c r="U31" s="775">
        <f t="shared" si="13"/>
        <v>100</v>
      </c>
      <c r="V31" s="774" t="s">
        <v>21</v>
      </c>
      <c r="W31" s="775">
        <f t="shared" si="14"/>
        <v>100</v>
      </c>
      <c r="X31" s="1813"/>
      <c r="Y31" s="3352"/>
      <c r="Z31" s="1814">
        <f t="shared" si="18"/>
        <v>111</v>
      </c>
      <c r="AA31" s="1811">
        <f t="shared" si="15"/>
        <v>1</v>
      </c>
      <c r="AB31" s="1811">
        <f t="shared" si="16"/>
        <v>1</v>
      </c>
      <c r="AC31" s="1811">
        <f t="shared" si="17"/>
        <v>1</v>
      </c>
    </row>
    <row r="32" spans="1:29" ht="15">
      <c r="A32" s="440" t="s">
        <v>2556</v>
      </c>
      <c r="B32" s="71" t="s">
        <v>2557</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40"/>
      <c r="M32" s="1131"/>
      <c r="N32" s="1131"/>
      <c r="O32" s="1131"/>
      <c r="P32" s="3426" t="s">
        <v>2558</v>
      </c>
      <c r="Q32" s="1810" t="str">
        <f t="shared" si="11"/>
        <v>建筑类型</v>
      </c>
      <c r="R32" s="774" t="s">
        <v>21</v>
      </c>
      <c r="S32" s="775">
        <f t="shared" si="12"/>
        <v>100</v>
      </c>
      <c r="T32" s="774" t="s">
        <v>21</v>
      </c>
      <c r="U32" s="775">
        <f t="shared" si="13"/>
        <v>100</v>
      </c>
      <c r="V32" s="774" t="s">
        <v>21</v>
      </c>
      <c r="W32" s="775">
        <f t="shared" si="14"/>
        <v>100</v>
      </c>
      <c r="X32" s="1813"/>
      <c r="Y32" s="3354" t="s">
        <v>2558</v>
      </c>
      <c r="Z32" s="1814" t="str">
        <f t="shared" si="18"/>
        <v>建筑类型</v>
      </c>
      <c r="AA32" s="1811">
        <f t="shared" si="15"/>
        <v>1</v>
      </c>
      <c r="AB32" s="1811">
        <f t="shared" si="16"/>
        <v>1</v>
      </c>
      <c r="AC32" s="1811">
        <f t="shared" si="17"/>
        <v>1</v>
      </c>
    </row>
    <row r="33" spans="1:29" s="471" customFormat="1" ht="15">
      <c r="A33" s="468"/>
      <c r="B33" s="422" t="s">
        <v>2559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38"/>
      <c r="M33" s="1141"/>
      <c r="N33" s="1141"/>
      <c r="O33" s="1141"/>
      <c r="P33" s="3427"/>
      <c r="Q33" s="776" t="str">
        <f t="shared" si="11"/>
        <v>项目建筑规模</v>
      </c>
      <c r="R33" s="777" t="s">
        <v>21</v>
      </c>
      <c r="S33" s="778" t="e">
        <f t="shared" si="12"/>
        <v>#N/A</v>
      </c>
      <c r="T33" s="777" t="s">
        <v>21</v>
      </c>
      <c r="U33" s="778" t="e">
        <f t="shared" si="13"/>
        <v>#N/A</v>
      </c>
      <c r="V33" s="777" t="s">
        <v>21</v>
      </c>
      <c r="W33" s="778" t="e">
        <f t="shared" si="14"/>
        <v>#N/A</v>
      </c>
      <c r="X33" s="779"/>
      <c r="Y33" s="3354"/>
      <c r="Z33" s="780" t="str">
        <f t="shared" si="18"/>
        <v>项目建筑规模</v>
      </c>
      <c r="AA33" s="1811" t="e">
        <f t="shared" si="15"/>
        <v>#N/A</v>
      </c>
      <c r="AB33" s="1811" t="e">
        <f t="shared" si="16"/>
        <v>#N/A</v>
      </c>
      <c r="AC33" s="1811" t="e">
        <f t="shared" si="17"/>
        <v>#N/A</v>
      </c>
    </row>
    <row r="34" spans="1:29" ht="15">
      <c r="A34" s="472"/>
      <c r="B34" s="422" t="s">
        <v>2560</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40"/>
      <c r="M34" s="1131"/>
      <c r="N34" s="1131"/>
      <c r="O34" s="1131"/>
      <c r="P34" s="3427"/>
      <c r="Q34" s="1810" t="str">
        <f t="shared" si="11"/>
        <v>建筑结构</v>
      </c>
      <c r="R34" s="774" t="s">
        <v>21</v>
      </c>
      <c r="S34" s="775">
        <f t="shared" si="12"/>
        <v>100</v>
      </c>
      <c r="T34" s="774" t="s">
        <v>21</v>
      </c>
      <c r="U34" s="775">
        <f t="shared" si="13"/>
        <v>100</v>
      </c>
      <c r="V34" s="774" t="s">
        <v>21</v>
      </c>
      <c r="W34" s="775">
        <f t="shared" si="14"/>
        <v>100</v>
      </c>
      <c r="X34" s="1813"/>
      <c r="Y34" s="3354"/>
      <c r="Z34" s="1814" t="str">
        <f t="shared" si="18"/>
        <v>建筑结构</v>
      </c>
      <c r="AA34" s="1811">
        <f t="shared" si="15"/>
        <v>1</v>
      </c>
      <c r="AB34" s="1811">
        <f t="shared" si="16"/>
        <v>1</v>
      </c>
      <c r="AC34" s="1811">
        <f t="shared" si="17"/>
        <v>1</v>
      </c>
    </row>
    <row r="35" spans="1:29" ht="15">
      <c r="A35" s="472"/>
      <c r="B35" s="422" t="s">
        <v>2561</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40"/>
      <c r="M35" s="1131"/>
      <c r="N35" s="1131"/>
      <c r="O35" s="1131"/>
      <c r="P35" s="3427"/>
      <c r="Q35" s="1810" t="str">
        <f t="shared" si="11"/>
        <v>建筑品质</v>
      </c>
      <c r="R35" s="774" t="s">
        <v>21</v>
      </c>
      <c r="S35" s="775">
        <f t="shared" si="12"/>
        <v>100</v>
      </c>
      <c r="T35" s="774" t="s">
        <v>21</v>
      </c>
      <c r="U35" s="775">
        <f t="shared" si="13"/>
        <v>100</v>
      </c>
      <c r="V35" s="774" t="s">
        <v>21</v>
      </c>
      <c r="W35" s="775">
        <f t="shared" si="14"/>
        <v>100</v>
      </c>
      <c r="X35" s="1813"/>
      <c r="Y35" s="3354"/>
      <c r="Z35" s="1814" t="str">
        <f t="shared" si="18"/>
        <v>建筑品质</v>
      </c>
      <c r="AA35" s="1811">
        <f t="shared" si="15"/>
        <v>1</v>
      </c>
      <c r="AB35" s="1811">
        <f t="shared" si="16"/>
        <v>1</v>
      </c>
      <c r="AC35" s="1811">
        <f t="shared" si="17"/>
        <v>1</v>
      </c>
    </row>
    <row r="36" spans="1:29" ht="15">
      <c r="A36" s="472"/>
      <c r="B36" s="422" t="s">
        <v>2562</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40"/>
      <c r="M36" s="1131"/>
      <c r="N36" s="1131"/>
      <c r="O36" s="1131"/>
      <c r="P36" s="3427"/>
      <c r="Q36" s="1810" t="str">
        <f t="shared" si="11"/>
        <v>公共部分装修</v>
      </c>
      <c r="R36" s="774" t="s">
        <v>21</v>
      </c>
      <c r="S36" s="775">
        <f t="shared" si="12"/>
        <v>100</v>
      </c>
      <c r="T36" s="774" t="s">
        <v>21</v>
      </c>
      <c r="U36" s="775">
        <f t="shared" si="13"/>
        <v>100</v>
      </c>
      <c r="V36" s="774" t="s">
        <v>21</v>
      </c>
      <c r="W36" s="775">
        <f t="shared" si="14"/>
        <v>100</v>
      </c>
      <c r="X36" s="1813"/>
      <c r="Y36" s="3354"/>
      <c r="Z36" s="1814" t="str">
        <f t="shared" si="18"/>
        <v>公共部分装修</v>
      </c>
      <c r="AA36" s="1811">
        <f t="shared" si="15"/>
        <v>1</v>
      </c>
      <c r="AB36" s="1811">
        <f t="shared" si="16"/>
        <v>1</v>
      </c>
      <c r="AC36" s="1811">
        <f t="shared" si="17"/>
        <v>1</v>
      </c>
    </row>
    <row r="37" spans="1:29" s="117" customFormat="1" ht="15">
      <c r="A37" s="473"/>
      <c r="B37" s="422" t="s">
        <v>2563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427"/>
      <c r="Q37" s="1795" t="str">
        <f t="shared" si="11"/>
        <v>成新度</v>
      </c>
      <c r="R37" s="770" t="s">
        <v>21</v>
      </c>
      <c r="S37" s="771" t="e">
        <f t="shared" si="12"/>
        <v>#N/A</v>
      </c>
      <c r="T37" s="770" t="s">
        <v>21</v>
      </c>
      <c r="U37" s="771" t="e">
        <f t="shared" si="13"/>
        <v>#N/A</v>
      </c>
      <c r="V37" s="770" t="s">
        <v>21</v>
      </c>
      <c r="W37" s="771" t="e">
        <f t="shared" si="14"/>
        <v>#N/A</v>
      </c>
      <c r="X37" s="772"/>
      <c r="Y37" s="3354"/>
      <c r="Z37" s="55" t="str">
        <f t="shared" si="18"/>
        <v>成新度</v>
      </c>
      <c r="AA37" s="773" t="e">
        <f t="shared" si="15"/>
        <v>#N/A</v>
      </c>
      <c r="AB37" s="773" t="e">
        <f t="shared" si="16"/>
        <v>#N/A</v>
      </c>
      <c r="AC37" s="773" t="e">
        <f t="shared" si="17"/>
        <v>#N/A</v>
      </c>
    </row>
    <row r="38" spans="1:29" ht="15">
      <c r="A38" s="472"/>
      <c r="B38" s="422" t="s">
        <v>2564</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40"/>
      <c r="M38" s="1131"/>
      <c r="N38" s="1131"/>
      <c r="O38" s="1131"/>
      <c r="P38" s="3427" t="s">
        <v>2558</v>
      </c>
      <c r="Q38" s="1810" t="str">
        <f t="shared" si="11"/>
        <v>物业管理</v>
      </c>
      <c r="R38" s="774" t="s">
        <v>21</v>
      </c>
      <c r="S38" s="775">
        <f t="shared" si="12"/>
        <v>100</v>
      </c>
      <c r="T38" s="774" t="s">
        <v>21</v>
      </c>
      <c r="U38" s="775">
        <f t="shared" si="13"/>
        <v>100</v>
      </c>
      <c r="V38" s="774" t="s">
        <v>21</v>
      </c>
      <c r="W38" s="775">
        <f t="shared" si="14"/>
        <v>100</v>
      </c>
      <c r="X38" s="1813"/>
      <c r="Y38" s="3354" t="s">
        <v>2558</v>
      </c>
      <c r="Z38" s="1814" t="str">
        <f t="shared" si="18"/>
        <v>物业管理</v>
      </c>
      <c r="AA38" s="1811">
        <f t="shared" si="15"/>
        <v>1</v>
      </c>
      <c r="AB38" s="1811">
        <f t="shared" si="16"/>
        <v>1</v>
      </c>
      <c r="AC38" s="1811">
        <f t="shared" si="17"/>
        <v>1</v>
      </c>
    </row>
    <row r="39" spans="1:29" ht="15">
      <c r="A39" s="472"/>
      <c r="B39" s="422" t="s">
        <v>2565</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40"/>
      <c r="M39" s="1131"/>
      <c r="N39" s="1131"/>
      <c r="O39" s="1131"/>
      <c r="P39" s="3427"/>
      <c r="Q39" s="1810" t="str">
        <f t="shared" si="11"/>
        <v>市政基础设施</v>
      </c>
      <c r="R39" s="774" t="s">
        <v>21</v>
      </c>
      <c r="S39" s="775">
        <f t="shared" si="12"/>
        <v>100</v>
      </c>
      <c r="T39" s="774" t="s">
        <v>21</v>
      </c>
      <c r="U39" s="775">
        <f t="shared" si="13"/>
        <v>100</v>
      </c>
      <c r="V39" s="774" t="s">
        <v>21</v>
      </c>
      <c r="W39" s="775">
        <f t="shared" si="14"/>
        <v>100</v>
      </c>
      <c r="X39" s="1813"/>
      <c r="Y39" s="3354"/>
      <c r="Z39" s="1814" t="str">
        <f t="shared" si="18"/>
        <v>市政基础设施</v>
      </c>
      <c r="AA39" s="1811">
        <f t="shared" si="15"/>
        <v>1</v>
      </c>
      <c r="AB39" s="1811">
        <f t="shared" si="16"/>
        <v>1</v>
      </c>
      <c r="AC39" s="1811">
        <f t="shared" si="17"/>
        <v>1</v>
      </c>
    </row>
    <row r="40" spans="1:29" ht="15">
      <c r="A40" s="472"/>
      <c r="B40" s="422" t="s">
        <v>2566</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0"/>
      <c r="M40" s="1131"/>
      <c r="N40" s="1131"/>
      <c r="O40" s="1131"/>
      <c r="P40" s="3427"/>
      <c r="Q40" s="1810" t="str">
        <f t="shared" si="11"/>
        <v>房型</v>
      </c>
      <c r="R40" s="774" t="s">
        <v>21</v>
      </c>
      <c r="S40" s="775">
        <f t="shared" si="12"/>
        <v>100</v>
      </c>
      <c r="T40" s="774" t="s">
        <v>21</v>
      </c>
      <c r="U40" s="775">
        <f t="shared" si="13"/>
        <v>100</v>
      </c>
      <c r="V40" s="774" t="s">
        <v>21</v>
      </c>
      <c r="W40" s="775">
        <f t="shared" si="14"/>
        <v>100</v>
      </c>
      <c r="X40" s="1813"/>
      <c r="Y40" s="3354"/>
      <c r="Z40" s="1814" t="str">
        <f t="shared" si="18"/>
        <v>房型</v>
      </c>
      <c r="AA40" s="1811">
        <f t="shared" si="15"/>
        <v>1</v>
      </c>
      <c r="AB40" s="1811">
        <f t="shared" si="16"/>
        <v>1</v>
      </c>
      <c r="AC40" s="1811">
        <f t="shared" si="17"/>
        <v>1</v>
      </c>
    </row>
    <row r="41" spans="1:29" s="471" customFormat="1" ht="28.5">
      <c r="A41" s="468"/>
      <c r="B41" s="422" t="s">
        <v>2567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8"/>
      <c r="M41" s="1141"/>
      <c r="N41" s="1141"/>
      <c r="O41" s="1141"/>
      <c r="P41" s="3427"/>
      <c r="Q41" s="776" t="str">
        <f t="shared" si="11"/>
        <v>单套/主力户型建筑面积</v>
      </c>
      <c r="R41" s="777" t="s">
        <v>21</v>
      </c>
      <c r="S41" s="778">
        <f t="shared" si="12"/>
        <v>100</v>
      </c>
      <c r="T41" s="777" t="s">
        <v>21</v>
      </c>
      <c r="U41" s="778">
        <f t="shared" si="13"/>
        <v>100</v>
      </c>
      <c r="V41" s="777" t="s">
        <v>21</v>
      </c>
      <c r="W41" s="778">
        <f t="shared" si="14"/>
        <v>100</v>
      </c>
      <c r="X41" s="779"/>
      <c r="Y41" s="3354"/>
      <c r="Z41" s="780" t="str">
        <f t="shared" si="18"/>
        <v>单套/主力户型建筑面积</v>
      </c>
      <c r="AA41" s="1811">
        <f t="shared" si="15"/>
        <v>1</v>
      </c>
      <c r="AB41" s="1811">
        <f t="shared" si="16"/>
        <v>1</v>
      </c>
      <c r="AC41" s="1811">
        <f t="shared" si="17"/>
        <v>1</v>
      </c>
    </row>
    <row r="42" spans="1:29" ht="15">
      <c r="A42" s="472"/>
      <c r="B42" s="422" t="s">
        <v>2568</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40"/>
      <c r="M42" s="1131"/>
      <c r="N42" s="1131"/>
      <c r="O42" s="1131"/>
      <c r="P42" s="3427"/>
      <c r="Q42" s="1810" t="str">
        <f t="shared" si="11"/>
        <v>内部装修</v>
      </c>
      <c r="R42" s="774" t="s">
        <v>21</v>
      </c>
      <c r="S42" s="775">
        <f t="shared" si="12"/>
        <v>100</v>
      </c>
      <c r="T42" s="774" t="s">
        <v>21</v>
      </c>
      <c r="U42" s="775">
        <f t="shared" si="13"/>
        <v>100</v>
      </c>
      <c r="V42" s="774" t="s">
        <v>21</v>
      </c>
      <c r="W42" s="775">
        <f t="shared" si="14"/>
        <v>100</v>
      </c>
      <c r="X42" s="1813"/>
      <c r="Y42" s="3354"/>
      <c r="Z42" s="1814" t="str">
        <f t="shared" si="18"/>
        <v>内部装修</v>
      </c>
      <c r="AA42" s="1811">
        <f t="shared" si="15"/>
        <v>1</v>
      </c>
      <c r="AB42" s="1811">
        <f t="shared" si="16"/>
        <v>1</v>
      </c>
      <c r="AC42" s="1811">
        <f t="shared" si="17"/>
        <v>1</v>
      </c>
    </row>
    <row r="43" spans="1:29" ht="15">
      <c r="A43" s="472"/>
      <c r="B43" s="422" t="s">
        <v>2569</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40"/>
      <c r="M43" s="1131"/>
      <c r="N43" s="1131"/>
      <c r="O43" s="1131"/>
      <c r="P43" s="3427"/>
      <c r="Q43" s="1810" t="str">
        <f t="shared" si="11"/>
        <v>内部装修维护情况</v>
      </c>
      <c r="R43" s="774" t="s">
        <v>21</v>
      </c>
      <c r="S43" s="775">
        <f t="shared" si="12"/>
        <v>100</v>
      </c>
      <c r="T43" s="774" t="s">
        <v>21</v>
      </c>
      <c r="U43" s="775">
        <f t="shared" si="13"/>
        <v>100</v>
      </c>
      <c r="V43" s="774" t="s">
        <v>21</v>
      </c>
      <c r="W43" s="775">
        <f t="shared" si="14"/>
        <v>100</v>
      </c>
      <c r="X43" s="1813"/>
      <c r="Y43" s="3354"/>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2"/>
      <c r="M44" s="1133"/>
      <c r="N44" s="1133"/>
      <c r="O44" s="1133"/>
      <c r="P44" s="3427"/>
      <c r="Q44" s="1795">
        <f t="shared" si="11"/>
        <v>111</v>
      </c>
      <c r="R44" s="770" t="s">
        <v>21</v>
      </c>
      <c r="S44" s="771">
        <f t="shared" si="12"/>
        <v>100</v>
      </c>
      <c r="T44" s="770" t="s">
        <v>21</v>
      </c>
      <c r="U44" s="771">
        <f t="shared" si="13"/>
        <v>100</v>
      </c>
      <c r="V44" s="770" t="s">
        <v>21</v>
      </c>
      <c r="W44" s="771">
        <f t="shared" si="14"/>
        <v>100</v>
      </c>
      <c r="X44" s="772"/>
      <c r="Y44" s="3354"/>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0"/>
      <c r="M45" s="1131"/>
      <c r="N45" s="1131"/>
      <c r="O45" s="1131"/>
      <c r="P45" s="3427"/>
      <c r="Q45" s="1810">
        <f t="shared" si="11"/>
        <v>111</v>
      </c>
      <c r="R45" s="774" t="s">
        <v>21</v>
      </c>
      <c r="S45" s="775">
        <f t="shared" si="12"/>
        <v>100</v>
      </c>
      <c r="T45" s="774" t="s">
        <v>21</v>
      </c>
      <c r="U45" s="775">
        <f t="shared" si="13"/>
        <v>100</v>
      </c>
      <c r="V45" s="774" t="s">
        <v>21</v>
      </c>
      <c r="W45" s="775">
        <f t="shared" si="14"/>
        <v>100</v>
      </c>
      <c r="X45" s="1813"/>
      <c r="Y45" s="3354"/>
      <c r="Z45" s="1814">
        <f t="shared" si="18"/>
        <v>111</v>
      </c>
      <c r="AA45" s="1811">
        <f t="shared" si="15"/>
        <v>1</v>
      </c>
      <c r="AB45" s="1811">
        <f t="shared" si="16"/>
        <v>1</v>
      </c>
      <c r="AC45" s="1811">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0"/>
      <c r="M46" s="1131"/>
      <c r="N46" s="1131"/>
      <c r="O46" s="1131"/>
      <c r="P46" s="3428"/>
      <c r="Q46" s="1810">
        <f t="shared" si="11"/>
        <v>111</v>
      </c>
      <c r="R46" s="774" t="s">
        <v>20</v>
      </c>
      <c r="S46" s="775">
        <f t="shared" si="12"/>
        <v>100</v>
      </c>
      <c r="T46" s="774" t="s">
        <v>20</v>
      </c>
      <c r="U46" s="775">
        <f t="shared" si="13"/>
        <v>100</v>
      </c>
      <c r="V46" s="774" t="s">
        <v>20</v>
      </c>
      <c r="W46" s="775">
        <f t="shared" si="14"/>
        <v>100</v>
      </c>
      <c r="X46" s="1813"/>
      <c r="Y46" s="3429"/>
      <c r="Z46" s="1814">
        <f t="shared" si="18"/>
        <v>111</v>
      </c>
      <c r="AA46" s="1811">
        <f t="shared" si="15"/>
        <v>1</v>
      </c>
      <c r="AB46" s="1811">
        <f t="shared" si="16"/>
        <v>1</v>
      </c>
      <c r="AC46" s="1811">
        <f t="shared" si="17"/>
        <v>1</v>
      </c>
    </row>
    <row r="47" spans="1:29" ht="15">
      <c r="A47" s="479" t="s">
        <v>2570</v>
      </c>
      <c r="B47" s="480"/>
      <c r="C47" s="1407" t="s">
        <v>19</v>
      </c>
      <c r="D47" s="1408"/>
      <c r="E47" s="1409"/>
      <c r="F47" s="1410"/>
      <c r="G47" s="1411"/>
      <c r="H47" s="1412"/>
      <c r="I47" s="1409"/>
      <c r="J47" s="1412"/>
      <c r="K47" s="2620"/>
      <c r="L47" s="1143"/>
      <c r="M47" s="1144"/>
      <c r="N47" s="1131"/>
      <c r="O47" s="1144"/>
      <c r="P47" s="3348" t="str">
        <f>A47</f>
        <v>成交单价（元/平方米）</v>
      </c>
      <c r="Q47" s="3348"/>
      <c r="R47" s="3425">
        <f>E47</f>
        <v>0</v>
      </c>
      <c r="S47" s="3425"/>
      <c r="T47" s="3425">
        <f>G47</f>
        <v>0</v>
      </c>
      <c r="U47" s="3425"/>
      <c r="V47" s="3425">
        <f>I47</f>
        <v>0</v>
      </c>
      <c r="W47" s="3425"/>
      <c r="X47" s="759"/>
      <c r="Y47" s="781"/>
      <c r="Z47" s="759"/>
      <c r="AA47" s="759"/>
      <c r="AB47" s="759"/>
      <c r="AC47" s="759"/>
    </row>
    <row r="48" spans="1:29" ht="15.75" thickBot="1">
      <c r="A48" s="486" t="s">
        <v>2571</v>
      </c>
      <c r="B48" s="487"/>
      <c r="C48" s="1413" t="e">
        <f>R49</f>
        <v>#DIV/0!</v>
      </c>
      <c r="D48" s="1414"/>
      <c r="E48" s="1415" t="e">
        <f>R48</f>
        <v>#DIV/0!</v>
      </c>
      <c r="F48" s="1415"/>
      <c r="G48" s="1413" t="e">
        <f>T48</f>
        <v>#DIV/0!</v>
      </c>
      <c r="H48" s="1414"/>
      <c r="I48" s="1415" t="e">
        <f>V48</f>
        <v>#DIV/0!</v>
      </c>
      <c r="J48" s="1414"/>
      <c r="K48" s="2621"/>
      <c r="L48" s="1143"/>
      <c r="M48" s="1144"/>
      <c r="N48" s="1144"/>
      <c r="O48" s="1144"/>
      <c r="P48" s="3348" t="str">
        <f>A48</f>
        <v>比较价值（元/平方米）</v>
      </c>
      <c r="Q48" s="3348"/>
      <c r="R48" s="3425" t="e">
        <f>IF(F1="售价",ROUND(PRODUCT(R47,AA7:AA46),0),ROUND(PRODUCT(R47,AA7:AA46),1))</f>
        <v>#DIV/0!</v>
      </c>
      <c r="S48" s="3425"/>
      <c r="T48" s="3425" t="e">
        <f>IF(F1="售价",ROUND(PRODUCT(T47,AB7:AB46),0),ROUND(PRODUCT(T47,AB7:AB46),1))</f>
        <v>#DIV/0!</v>
      </c>
      <c r="U48" s="3425"/>
      <c r="V48" s="3425" t="e">
        <f>IF(F1="售价",ROUND(PRODUCT(V47,AC7:AC46),0),ROUND(PRODUCT(V47,AC7:AC46),1))</f>
        <v>#DIV/0!</v>
      </c>
      <c r="W48" s="3425"/>
      <c r="X48" s="759"/>
      <c r="Y48" s="759"/>
      <c r="Z48" s="759"/>
      <c r="AA48" s="759"/>
      <c r="AB48" s="759"/>
      <c r="AC48" s="759"/>
    </row>
    <row r="49" spans="1:29" ht="15.75" thickBot="1">
      <c r="A49" s="492" t="s">
        <v>2572</v>
      </c>
      <c r="B49" s="493"/>
      <c r="C49" s="1416" t="e">
        <f>R49</f>
        <v>#DIV/0!</v>
      </c>
      <c r="D49" s="1417"/>
      <c r="E49" s="1417"/>
      <c r="F49" s="1417"/>
      <c r="G49" s="1417"/>
      <c r="H49" s="1417"/>
      <c r="I49" s="1417"/>
      <c r="J49" s="1417"/>
      <c r="K49" s="2622"/>
      <c r="L49" s="1143"/>
      <c r="M49" s="1144"/>
      <c r="N49" s="1144"/>
      <c r="O49" s="1144"/>
      <c r="P49" s="3345" t="str">
        <f>A49</f>
        <v>估价对象XX用房的比较价值（楼面单价，元/平方米）</v>
      </c>
      <c r="Q49" s="3346"/>
      <c r="R49" s="3424" t="e">
        <f>IF(F1="售价",ROUND(AVERAGE(R48:V48),0),ROUND(AVERAGE(R48:V48),1))</f>
        <v>#DIV/0!</v>
      </c>
      <c r="S49" s="3424"/>
      <c r="T49" s="3424"/>
      <c r="U49" s="3424"/>
      <c r="V49" s="3424"/>
      <c r="W49" s="342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4"/>
    </row>
    <row r="55" spans="1:29" s="502"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1.75" thickBot="1">
      <c r="A57" s="763" t="s">
        <v>2576</v>
      </c>
      <c r="B57" s="759"/>
      <c r="C57" s="764"/>
      <c r="D57" s="764"/>
      <c r="E57" s="764"/>
      <c r="F57" s="765"/>
      <c r="G57" s="765"/>
      <c r="H57" s="764"/>
      <c r="I57" s="764"/>
      <c r="J57" s="764"/>
      <c r="K57" s="1160"/>
      <c r="L57" s="1161"/>
      <c r="M57" s="1159"/>
      <c r="N57" s="1159"/>
      <c r="O57" s="1159"/>
      <c r="P57" s="2625"/>
      <c r="Q57" s="504"/>
    </row>
    <row r="58" spans="1:29" s="508" customFormat="1" ht="15">
      <c r="A58" s="505" t="s">
        <v>2577</v>
      </c>
      <c r="B58" s="506"/>
      <c r="C58" s="1576" t="str">
        <f>YEAR(C7)&amp;"-"&amp;MONTH(C7)</f>
        <v>2019-3</v>
      </c>
      <c r="D58" s="1575">
        <f>EDATE(C58,-1)</f>
        <v>43497</v>
      </c>
      <c r="E58" s="1575">
        <f>EDATE(D58,-1)</f>
        <v>43466</v>
      </c>
      <c r="F58" s="1575">
        <f t="shared" ref="F58:O58" si="19">EDATE(E58,-1)</f>
        <v>43435</v>
      </c>
      <c r="G58" s="1575">
        <f t="shared" si="19"/>
        <v>43405</v>
      </c>
      <c r="H58" s="1575">
        <f t="shared" si="19"/>
        <v>43374</v>
      </c>
      <c r="I58" s="1575">
        <f t="shared" si="19"/>
        <v>43344</v>
      </c>
      <c r="J58" s="1575">
        <f t="shared" si="19"/>
        <v>43313</v>
      </c>
      <c r="K58" s="1575">
        <f t="shared" si="19"/>
        <v>43282</v>
      </c>
      <c r="L58" s="1575">
        <f t="shared" si="19"/>
        <v>43252</v>
      </c>
      <c r="M58" s="1575">
        <f t="shared" si="19"/>
        <v>43221</v>
      </c>
      <c r="N58" s="1575">
        <f t="shared" si="19"/>
        <v>43191</v>
      </c>
      <c r="O58" s="1575">
        <f t="shared" si="19"/>
        <v>43160</v>
      </c>
      <c r="P58" s="1570"/>
    </row>
    <row r="59" spans="1:29" s="117" customFormat="1" ht="15">
      <c r="A59" s="509"/>
      <c r="B59" s="2626"/>
      <c r="C59" s="1573">
        <v>100</v>
      </c>
      <c r="D59" s="511"/>
      <c r="E59" s="512"/>
      <c r="F59" s="512"/>
      <c r="G59" s="512"/>
      <c r="H59" s="512"/>
      <c r="I59" s="512"/>
      <c r="J59" s="512"/>
      <c r="K59" s="512"/>
      <c r="L59" s="512"/>
      <c r="M59" s="513"/>
      <c r="N59" s="512"/>
      <c r="O59" s="513"/>
      <c r="P59" s="2627"/>
    </row>
    <row r="60" spans="1:29" s="117" customFormat="1" ht="15.75" thickBot="1">
      <c r="A60" s="515" t="s">
        <v>2578</v>
      </c>
      <c r="B60" s="516"/>
      <c r="C60" s="517"/>
      <c r="D60" s="518"/>
      <c r="E60" s="518"/>
      <c r="F60" s="518"/>
      <c r="G60" s="518"/>
      <c r="H60" s="518"/>
      <c r="I60" s="518"/>
      <c r="J60" s="518"/>
      <c r="K60" s="518"/>
      <c r="L60" s="518"/>
      <c r="M60" s="519"/>
      <c r="N60" s="518"/>
      <c r="O60" s="519"/>
      <c r="P60" s="2627"/>
      <c r="Q60" s="504"/>
    </row>
    <row r="61" spans="1:29" s="117" customFormat="1" ht="15">
      <c r="A61" s="521" t="s">
        <v>2579</v>
      </c>
      <c r="B61" s="510"/>
      <c r="C61" s="522" t="s">
        <v>2580</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2581</v>
      </c>
      <c r="B63" s="528" t="s">
        <v>2547</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2550</v>
      </c>
      <c r="C65" s="539" t="s">
        <v>2582</v>
      </c>
      <c r="D65" s="539" t="s">
        <v>2583</v>
      </c>
      <c r="E65" s="539" t="s">
        <v>2584</v>
      </c>
      <c r="F65" s="539" t="s">
        <v>2585</v>
      </c>
      <c r="G65" s="539" t="s">
        <v>2586</v>
      </c>
      <c r="H65" s="539" t="s">
        <v>2587</v>
      </c>
      <c r="I65" s="539" t="s">
        <v>2588</v>
      </c>
      <c r="J65" s="539"/>
      <c r="K65" s="540"/>
      <c r="L65" s="541"/>
      <c r="M65" s="542"/>
      <c r="N65" s="1152"/>
      <c r="O65" s="1152"/>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9"/>
      <c r="Q66" s="504"/>
    </row>
    <row r="67" spans="1:17" ht="15.75" thickTop="1">
      <c r="A67" s="534"/>
      <c r="B67" s="546" t="s">
        <v>2551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60"/>
      <c r="E73" s="560"/>
      <c r="F73" s="560"/>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2552</v>
      </c>
      <c r="B76" s="528" t="s">
        <v>2589</v>
      </c>
      <c r="C76" s="573" t="s">
        <v>2590</v>
      </c>
      <c r="D76" s="573" t="s">
        <v>2591</v>
      </c>
      <c r="E76" s="573" t="s">
        <v>2592</v>
      </c>
      <c r="F76" s="573" t="s">
        <v>2593</v>
      </c>
      <c r="G76" s="573" t="s">
        <v>2594</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2595</v>
      </c>
      <c r="C78" s="578" t="s">
        <v>2590</v>
      </c>
      <c r="D78" s="578" t="s">
        <v>2591</v>
      </c>
      <c r="E78" s="578" t="s">
        <v>2592</v>
      </c>
      <c r="F78" s="578" t="s">
        <v>2593</v>
      </c>
      <c r="G78" s="578" t="s">
        <v>2594</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2596</v>
      </c>
      <c r="C80" s="578" t="s">
        <v>2590</v>
      </c>
      <c r="D80" s="578" t="s">
        <v>2591</v>
      </c>
      <c r="E80" s="578" t="s">
        <v>2592</v>
      </c>
      <c r="F80" s="578" t="s">
        <v>2593</v>
      </c>
      <c r="G80" s="578" t="s">
        <v>2594</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2092</v>
      </c>
      <c r="C82" s="539" t="s">
        <v>2597</v>
      </c>
      <c r="D82" s="539" t="s">
        <v>2598</v>
      </c>
      <c r="E82" s="539" t="s">
        <v>2599</v>
      </c>
      <c r="F82" s="539" t="s">
        <v>2600</v>
      </c>
      <c r="G82" s="539" t="s">
        <v>2601</v>
      </c>
      <c r="H82" s="539"/>
      <c r="I82" s="539"/>
      <c r="J82" s="539"/>
      <c r="K82" s="539"/>
      <c r="L82" s="539"/>
      <c r="M82" s="1382"/>
      <c r="N82" s="1153"/>
      <c r="O82" s="1153"/>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9"/>
      <c r="Q83" s="504"/>
    </row>
    <row r="84" spans="1:17" ht="15.75" thickTop="1">
      <c r="A84" s="534"/>
      <c r="B84" s="538" t="s">
        <v>2602</v>
      </c>
      <c r="C84" s="578" t="s">
        <v>2590</v>
      </c>
      <c r="D84" s="578" t="s">
        <v>2591</v>
      </c>
      <c r="E84" s="578" t="s">
        <v>2592</v>
      </c>
      <c r="F84" s="578" t="s">
        <v>2593</v>
      </c>
      <c r="G84" s="578" t="s">
        <v>2594</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2603</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9"/>
      <c r="Q87" s="504"/>
    </row>
    <row r="88" spans="1:17" s="117" customFormat="1" ht="15.75" thickTop="1">
      <c r="A88" s="579"/>
      <c r="B88" s="538" t="s">
        <v>2604</v>
      </c>
      <c r="C88" s="554"/>
      <c r="D88" s="554"/>
      <c r="E88" s="554"/>
      <c r="F88" s="2634"/>
      <c r="G88" s="554"/>
      <c r="H88" s="554"/>
      <c r="I88" s="554"/>
      <c r="J88" s="554"/>
      <c r="K88" s="554"/>
      <c r="L88" s="554"/>
      <c r="M88" s="581"/>
      <c r="N88" s="1151"/>
      <c r="O88" s="1151"/>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9"/>
      <c r="Q89" s="504"/>
    </row>
    <row r="90" spans="1:17" s="471" customFormat="1" ht="15.75" thickTop="1">
      <c r="A90" s="553"/>
      <c r="B90" s="538">
        <f>B27</f>
        <v>111</v>
      </c>
      <c r="C90" s="554"/>
      <c r="D90" s="554"/>
      <c r="E90" s="554"/>
      <c r="F90" s="554"/>
      <c r="G90" s="554"/>
      <c r="H90" s="555"/>
      <c r="I90" s="555"/>
      <c r="J90" s="555"/>
      <c r="K90" s="555"/>
      <c r="L90" s="556"/>
      <c r="M90" s="557"/>
      <c r="N90" s="1154"/>
      <c r="O90" s="1154"/>
      <c r="P90" s="2630"/>
      <c r="Q90" s="559"/>
    </row>
    <row r="91" spans="1:17" s="471" customFormat="1" ht="15.75" thickBot="1">
      <c r="A91" s="553"/>
      <c r="B91" s="543"/>
      <c r="C91" s="560"/>
      <c r="D91" s="560"/>
      <c r="E91" s="560"/>
      <c r="F91" s="560"/>
      <c r="G91" s="560"/>
      <c r="H91" s="562"/>
      <c r="I91" s="562"/>
      <c r="J91" s="562"/>
      <c r="K91" s="562"/>
      <c r="L91" s="562"/>
      <c r="M91" s="563"/>
      <c r="N91" s="1154"/>
      <c r="O91" s="1154"/>
      <c r="P91" s="2630"/>
      <c r="Q91" s="559"/>
    </row>
    <row r="92" spans="1:17" ht="15.75" thickTop="1">
      <c r="A92" s="534"/>
      <c r="B92" s="538">
        <f>B28</f>
        <v>111</v>
      </c>
      <c r="C92" s="554"/>
      <c r="D92" s="554"/>
      <c r="E92" s="554"/>
      <c r="F92" s="554"/>
      <c r="G92" s="583"/>
      <c r="H92" s="583"/>
      <c r="I92" s="583"/>
      <c r="J92" s="583"/>
      <c r="K92" s="584"/>
      <c r="L92" s="585"/>
      <c r="M92" s="586"/>
      <c r="N92" s="1152"/>
      <c r="O92" s="1152"/>
      <c r="P92" s="2629"/>
      <c r="Q92" s="504"/>
    </row>
    <row r="93" spans="1:17" ht="15.75" thickBot="1">
      <c r="A93" s="534"/>
      <c r="B93" s="543"/>
      <c r="C93" s="560"/>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60"/>
      <c r="E95" s="560"/>
      <c r="F95" s="560"/>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70"/>
      <c r="D97" s="570"/>
      <c r="E97" s="570"/>
      <c r="F97" s="570"/>
      <c r="G97" s="536"/>
      <c r="H97" s="536"/>
      <c r="I97" s="536"/>
      <c r="J97" s="536"/>
      <c r="K97" s="536"/>
      <c r="L97" s="536"/>
      <c r="M97" s="537"/>
      <c r="N97" s="1153"/>
      <c r="O97" s="1153"/>
      <c r="P97" s="2629"/>
      <c r="Q97" s="504"/>
    </row>
    <row r="98" spans="1:17" ht="15.75" thickTop="1">
      <c r="A98" s="534"/>
      <c r="B98" s="546">
        <f>B31</f>
        <v>111</v>
      </c>
      <c r="C98" s="587"/>
      <c r="D98" s="587"/>
      <c r="E98" s="587"/>
      <c r="F98" s="587"/>
      <c r="G98" s="587"/>
      <c r="H98" s="587"/>
      <c r="I98" s="587"/>
      <c r="J98" s="587"/>
      <c r="K98" s="588"/>
      <c r="L98" s="589"/>
      <c r="M98" s="590"/>
      <c r="N98" s="1152"/>
      <c r="O98" s="1152"/>
      <c r="P98" s="2629"/>
      <c r="Q98" s="504"/>
    </row>
    <row r="99" spans="1:17" ht="15.75" thickBot="1">
      <c r="A99" s="2635"/>
      <c r="B99" s="569"/>
      <c r="C99" s="591"/>
      <c r="D99" s="591"/>
      <c r="E99" s="591"/>
      <c r="F99" s="591"/>
      <c r="G99" s="591"/>
      <c r="H99" s="591"/>
      <c r="I99" s="591"/>
      <c r="J99" s="591"/>
      <c r="K99" s="591"/>
      <c r="L99" s="591"/>
      <c r="M99" s="592"/>
      <c r="N99" s="1153"/>
      <c r="O99" s="1153"/>
      <c r="P99" s="2629"/>
      <c r="Q99" s="504"/>
    </row>
    <row r="100" spans="1:17">
      <c r="A100" s="527" t="s">
        <v>2556</v>
      </c>
      <c r="B100" s="528" t="s">
        <v>2605</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9"/>
      <c r="Q101" s="504"/>
    </row>
    <row r="102" spans="1:17" ht="15.75" thickTop="1">
      <c r="A102" s="534"/>
      <c r="B102" s="538" t="s">
        <v>2606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0"/>
      <c r="Q104" s="559"/>
    </row>
    <row r="105" spans="1:17" ht="15" thickTop="1">
      <c r="A105" s="599"/>
      <c r="B105" s="538" t="s">
        <v>2607</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9"/>
      <c r="Q106" s="504"/>
    </row>
    <row r="107" spans="1:17" ht="15" thickTop="1">
      <c r="A107" s="599"/>
      <c r="B107" s="538" t="s">
        <v>2608</v>
      </c>
      <c r="C107" s="583"/>
      <c r="D107" s="583"/>
      <c r="E107" s="583"/>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9"/>
      <c r="Q108" s="504"/>
    </row>
    <row r="109" spans="1:17" ht="15" thickTop="1">
      <c r="A109" s="599"/>
      <c r="B109" s="538" t="s">
        <v>2609</v>
      </c>
      <c r="C109" s="554"/>
      <c r="D109" s="554"/>
      <c r="E109" s="554"/>
      <c r="F109" s="583"/>
      <c r="G109" s="583"/>
      <c r="H109" s="583"/>
      <c r="I109" s="583"/>
      <c r="J109" s="583"/>
      <c r="K109" s="584"/>
      <c r="L109" s="585"/>
      <c r="M109" s="586"/>
      <c r="N109" s="1152"/>
      <c r="O109" s="1152"/>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9"/>
      <c r="Q110" s="504"/>
    </row>
    <row r="111" spans="1:17" s="471" customFormat="1" ht="15" thickTop="1">
      <c r="A111" s="593"/>
      <c r="B111" s="538" t="s">
        <v>1989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0"/>
      <c r="Q113" s="559"/>
    </row>
    <row r="114" spans="1:17" ht="15" thickTop="1">
      <c r="A114" s="599"/>
      <c r="B114" s="538" t="s">
        <v>2610</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9"/>
      <c r="Q115" s="504"/>
    </row>
    <row r="116" spans="1:17" ht="15" thickTop="1">
      <c r="A116" s="599"/>
      <c r="B116" s="538" t="s">
        <v>2611</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2612</v>
      </c>
      <c r="C118" s="583"/>
      <c r="D118" s="583"/>
      <c r="E118" s="583"/>
      <c r="F118" s="583"/>
      <c r="G118" s="583"/>
      <c r="H118" s="583"/>
      <c r="I118" s="583"/>
      <c r="J118" s="583"/>
      <c r="K118" s="584"/>
      <c r="L118" s="585"/>
      <c r="M118" s="586"/>
      <c r="N118" s="1152"/>
      <c r="O118" s="1152"/>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9"/>
      <c r="Q119" s="504"/>
    </row>
    <row r="120" spans="1:17" s="471" customFormat="1" ht="28.5" thickTop="1">
      <c r="A120" s="593"/>
      <c r="B120" s="538" t="s">
        <v>2567</v>
      </c>
      <c r="C120" s="554"/>
      <c r="D120" s="554"/>
      <c r="E120" s="554"/>
      <c r="F120" s="554"/>
      <c r="G120" s="554"/>
      <c r="H120" s="554"/>
      <c r="I120" s="554"/>
      <c r="J120" s="554"/>
      <c r="K120" s="554"/>
      <c r="L120" s="580"/>
      <c r="M120" s="581"/>
      <c r="N120" s="1154"/>
      <c r="O120" s="1154"/>
      <c r="P120" s="2630"/>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0"/>
      <c r="Q121" s="559"/>
    </row>
    <row r="122" spans="1:17" ht="15" thickTop="1">
      <c r="A122" s="599"/>
      <c r="B122" s="538" t="s">
        <v>2613</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9"/>
      <c r="Q123" s="504"/>
    </row>
    <row r="124" spans="1:17" ht="15" thickTop="1">
      <c r="A124" s="599"/>
      <c r="B124" s="538" t="s">
        <v>2614</v>
      </c>
      <c r="C124" s="578" t="s">
        <v>2590</v>
      </c>
      <c r="D124" s="578" t="s">
        <v>2591</v>
      </c>
      <c r="E124" s="578" t="s">
        <v>2592</v>
      </c>
      <c r="F124" s="578" t="s">
        <v>2593</v>
      </c>
      <c r="G124" s="578" t="s">
        <v>2594</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60"/>
      <c r="E129" s="560"/>
      <c r="F129" s="560"/>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row r="136" spans="1:17" ht="15" thickBot="1">
      <c r="B136" s="2636" t="s">
        <v>2615</v>
      </c>
    </row>
    <row r="137" spans="1:17" ht="15">
      <c r="B137" s="2637" t="s">
        <v>2616</v>
      </c>
      <c r="C137" s="2638"/>
      <c r="D137" s="2638"/>
      <c r="E137" s="2638"/>
      <c r="F137" s="2638"/>
      <c r="G137" s="2639"/>
      <c r="H137" s="2640"/>
      <c r="I137" s="2641" t="s">
        <v>2617</v>
      </c>
      <c r="J137" s="2638"/>
      <c r="K137" s="2642"/>
    </row>
    <row r="138" spans="1:17" ht="15">
      <c r="B138" s="2643"/>
      <c r="C138" s="146" t="s">
        <v>2618</v>
      </c>
      <c r="D138" s="146" t="s">
        <v>2619</v>
      </c>
      <c r="E138" s="2644" t="s">
        <v>2620</v>
      </c>
      <c r="F138" s="2645" t="s">
        <v>2621</v>
      </c>
      <c r="G138" s="146" t="s">
        <v>2619</v>
      </c>
      <c r="H138" s="147" t="s">
        <v>2620</v>
      </c>
      <c r="I138" s="2646"/>
      <c r="J138" s="146" t="s">
        <v>2622</v>
      </c>
      <c r="K138" s="147" t="s">
        <v>2623</v>
      </c>
    </row>
    <row r="139" spans="1:17" ht="15">
      <c r="B139" s="1084">
        <v>6</v>
      </c>
      <c r="C139" s="1085">
        <v>96</v>
      </c>
      <c r="D139" s="2647" t="s">
        <v>2624</v>
      </c>
      <c r="E139" s="1086">
        <v>100</v>
      </c>
      <c r="F139" s="1087">
        <v>102.5</v>
      </c>
      <c r="G139" s="2647" t="s">
        <v>2624</v>
      </c>
      <c r="H139" s="1088">
        <v>105</v>
      </c>
      <c r="I139" s="2648" t="s">
        <v>2625</v>
      </c>
      <c r="J139" s="1085">
        <v>20</v>
      </c>
      <c r="K139" s="1089">
        <f>C145/(J139-2)</f>
        <v>4.0555555555555553E-3</v>
      </c>
    </row>
    <row r="140" spans="1:17" ht="15">
      <c r="B140" s="1090">
        <v>5</v>
      </c>
      <c r="C140" s="1091">
        <v>100</v>
      </c>
      <c r="D140" s="1091"/>
      <c r="E140" s="1092"/>
      <c r="F140" s="1093">
        <v>102</v>
      </c>
      <c r="G140" s="1091"/>
      <c r="H140" s="1094"/>
      <c r="I140" s="2649" t="s">
        <v>2626</v>
      </c>
      <c r="J140" s="315">
        <f>ROUNDUP((J139-1)/2,0)</f>
        <v>10</v>
      </c>
      <c r="K140" s="1095">
        <v>100</v>
      </c>
    </row>
    <row r="141" spans="1:17" ht="15">
      <c r="B141" s="1090">
        <v>4</v>
      </c>
      <c r="C141" s="1091">
        <v>102</v>
      </c>
      <c r="D141" s="1091"/>
      <c r="E141" s="1092"/>
      <c r="F141" s="1093">
        <v>101.5</v>
      </c>
      <c r="G141" s="1091"/>
      <c r="H141" s="1094"/>
      <c r="I141" s="2649" t="s">
        <v>2627</v>
      </c>
      <c r="J141" s="315">
        <v>1</v>
      </c>
      <c r="K141" s="1096">
        <f>ROUND(100+(J141-J140)*K139*100,1)</f>
        <v>96.4</v>
      </c>
    </row>
    <row r="142" spans="1:17" ht="15">
      <c r="B142" s="1090">
        <v>3</v>
      </c>
      <c r="C142" s="1091">
        <v>103</v>
      </c>
      <c r="D142" s="1091"/>
      <c r="E142" s="1092"/>
      <c r="F142" s="1093">
        <v>101</v>
      </c>
      <c r="G142" s="1091"/>
      <c r="H142" s="1094"/>
      <c r="I142" s="2649" t="s">
        <v>2628</v>
      </c>
      <c r="J142" s="315">
        <f>J139</f>
        <v>20</v>
      </c>
      <c r="K142" s="1097">
        <v>95</v>
      </c>
    </row>
    <row r="143" spans="1:17" ht="15">
      <c r="B143" s="1090">
        <v>2</v>
      </c>
      <c r="C143" s="1091">
        <v>100</v>
      </c>
      <c r="D143" s="1091"/>
      <c r="E143" s="1092"/>
      <c r="F143" s="1093">
        <v>100.5</v>
      </c>
      <c r="G143" s="1091"/>
      <c r="H143" s="1094"/>
      <c r="I143" s="2649" t="s">
        <v>2629</v>
      </c>
      <c r="J143" s="1091">
        <v>15</v>
      </c>
      <c r="K143" s="1096">
        <f>ROUND(100+(J143-J140)*K139*100,1)</f>
        <v>102</v>
      </c>
    </row>
    <row r="144" spans="1:17" ht="15">
      <c r="B144" s="1090">
        <v>1</v>
      </c>
      <c r="C144" s="1091">
        <v>98</v>
      </c>
      <c r="D144" s="2650" t="s">
        <v>2630</v>
      </c>
      <c r="E144" s="1092">
        <v>102</v>
      </c>
      <c r="F144" s="1098">
        <v>100</v>
      </c>
      <c r="G144" s="2650" t="s">
        <v>2630</v>
      </c>
      <c r="H144" s="1094">
        <v>105</v>
      </c>
      <c r="I144" s="2649" t="s">
        <v>2629</v>
      </c>
      <c r="J144" s="1091">
        <v>18</v>
      </c>
      <c r="K144" s="1096">
        <f>ROUND(100+(J144-J140)*K139*100,1)</f>
        <v>103.2</v>
      </c>
    </row>
    <row r="145" spans="2:11" ht="15.75" thickBot="1">
      <c r="B145" s="2651" t="s">
        <v>2631</v>
      </c>
      <c r="C145" s="1099">
        <f>ROUND(MAX(C139:C144)/MIN(C139:C144)-1,3)</f>
        <v>7.2999999999999995E-2</v>
      </c>
      <c r="D145" s="1100"/>
      <c r="E145" s="1100"/>
      <c r="F145" s="2652" t="s">
        <v>2632</v>
      </c>
      <c r="G145" s="2653"/>
      <c r="H145" s="2654"/>
      <c r="I145" s="2655" t="s">
        <v>2629</v>
      </c>
      <c r="J145" s="1101">
        <v>8</v>
      </c>
      <c r="K145" s="1102">
        <f>ROUND(100+(J145-J140)*K139*100,1)</f>
        <v>99.2</v>
      </c>
    </row>
    <row r="147" spans="2:11">
      <c r="B147" s="2636" t="s">
        <v>2633</v>
      </c>
    </row>
    <row r="148" spans="2:11">
      <c r="B148" s="2636" t="s">
        <v>2634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2521</v>
      </c>
      <c r="B1" s="2581" t="s">
        <v>2635</v>
      </c>
      <c r="C1" s="1634" t="s">
        <v>2523</v>
      </c>
      <c r="D1" s="1621"/>
      <c r="E1" s="2656"/>
      <c r="F1" s="2583"/>
      <c r="G1" s="1631" t="s">
        <v>2636</v>
      </c>
      <c r="H1" s="1630"/>
      <c r="I1" s="1630"/>
      <c r="J1" s="1630"/>
      <c r="K1" s="1632"/>
      <c r="L1" s="1633"/>
      <c r="M1" s="1634"/>
      <c r="N1" s="1634"/>
      <c r="O1" s="1634"/>
      <c r="P1" s="2657"/>
      <c r="Q1" s="2658"/>
      <c r="R1" s="2658"/>
      <c r="S1" s="2658"/>
      <c r="T1" s="2658"/>
      <c r="U1" s="2658"/>
      <c r="V1" s="2658"/>
      <c r="W1" s="2658"/>
      <c r="X1" s="2658"/>
      <c r="Y1" s="2658"/>
      <c r="Z1" s="2658"/>
      <c r="AA1" s="2658"/>
      <c r="AB1" s="2658"/>
      <c r="AC1" s="2659"/>
    </row>
    <row r="2" spans="1:29" s="398" customFormat="1" ht="28.5" customHeight="1" thickTop="1">
      <c r="A2" s="1617" t="s">
        <v>2320</v>
      </c>
      <c r="B2" s="1418" t="e">
        <f ca="1">IF(C2="——",ROUND(C49*D3/10000,0),ROUND(C49*D3/10000,0)-D2)</f>
        <v>#DIV/0!</v>
      </c>
      <c r="C2" s="2585"/>
      <c r="D2" s="1365" t="e">
        <f ca="1">SUMIF(INDIRECT("'"&amp;F2&amp;"'"&amp;"!A:A"),"承租人权益价值",INDIRECT("'"&amp;F2&amp;"'"&amp;"!c:c"))</f>
        <v>#REF!</v>
      </c>
      <c r="E2" s="2586" t="s">
        <v>2321</v>
      </c>
      <c r="F2" s="2587"/>
      <c r="G2" s="1125"/>
      <c r="H2" s="1125"/>
      <c r="I2" s="1125"/>
      <c r="J2" s="1125"/>
      <c r="K2" s="1125"/>
      <c r="L2" s="1128"/>
      <c r="M2" s="1129"/>
      <c r="N2" s="1129"/>
      <c r="O2" s="1129"/>
      <c r="P2" s="2660"/>
      <c r="Q2" s="1129"/>
      <c r="R2" s="1129"/>
      <c r="S2" s="1129"/>
      <c r="T2" s="1129"/>
      <c r="U2" s="1129"/>
      <c r="V2" s="1129"/>
      <c r="W2" s="1129"/>
      <c r="X2" s="1129"/>
      <c r="Y2" s="1129"/>
      <c r="Z2" s="1129"/>
      <c r="AA2" s="1129"/>
      <c r="AB2" s="1129"/>
      <c r="AC2" s="2661"/>
    </row>
    <row r="3" spans="1:29" s="398" customFormat="1" ht="28.5" customHeight="1" thickBot="1">
      <c r="A3" s="247" t="s">
        <v>2322</v>
      </c>
      <c r="B3" s="609" t="e">
        <f ca="1">IF(C2="——",C49,ROUND(B2*10000/D3,0))</f>
        <v>#DIV/0!</v>
      </c>
      <c r="C3" s="400" t="s">
        <v>2637</v>
      </c>
      <c r="D3" s="399">
        <f>IF(D1="",'数据-汇总表'!E3,SUMIF('数据-汇总表'!$C19:$C33,D1,'数据-汇总表'!$E19:$E33))</f>
        <v>193040.62000000002</v>
      </c>
      <c r="E3" s="2662"/>
      <c r="F3" s="1126"/>
      <c r="G3" s="1125"/>
      <c r="H3" s="1125"/>
      <c r="I3" s="1125"/>
      <c r="J3" s="1125"/>
      <c r="K3" s="1127"/>
      <c r="L3" s="1128"/>
      <c r="M3" s="1129"/>
      <c r="N3" s="1129"/>
      <c r="O3" s="1129"/>
      <c r="P3" s="2660"/>
      <c r="Q3" s="1129"/>
      <c r="R3" s="1129"/>
      <c r="S3" s="1129"/>
      <c r="T3" s="1129"/>
      <c r="U3" s="1129"/>
      <c r="V3" s="1129"/>
      <c r="W3" s="1129"/>
      <c r="X3" s="1129"/>
      <c r="Y3" s="1129"/>
      <c r="Z3" s="1129"/>
      <c r="AA3" s="1129"/>
      <c r="AB3" s="1129"/>
      <c r="AC3" s="2662"/>
    </row>
    <row r="4" spans="1:29" ht="15">
      <c r="A4" s="401" t="s">
        <v>2638</v>
      </c>
      <c r="B4" s="402"/>
      <c r="C4" s="3358" t="s">
        <v>2639</v>
      </c>
      <c r="D4" s="3359"/>
      <c r="E4" s="3360" t="s">
        <v>2640</v>
      </c>
      <c r="F4" s="3361"/>
      <c r="G4" s="3358" t="s">
        <v>2641</v>
      </c>
      <c r="H4" s="3359"/>
      <c r="I4" s="3358" t="s">
        <v>2642</v>
      </c>
      <c r="J4" s="3359"/>
      <c r="K4" s="610" t="s">
        <v>2643</v>
      </c>
      <c r="L4" s="1130"/>
      <c r="M4" s="1131"/>
      <c r="N4" s="1131"/>
      <c r="O4" s="1131"/>
      <c r="P4" s="3362" t="s">
        <v>2644</v>
      </c>
      <c r="Q4" s="3363"/>
      <c r="R4" s="3375" t="s">
        <v>2640</v>
      </c>
      <c r="S4" s="3376"/>
      <c r="T4" s="3375" t="s">
        <v>2641</v>
      </c>
      <c r="U4" s="3376"/>
      <c r="V4" s="3350" t="s">
        <v>2642</v>
      </c>
      <c r="W4" s="3350"/>
      <c r="X4" s="1813"/>
      <c r="Y4" s="3375" t="s">
        <v>2644</v>
      </c>
      <c r="Z4" s="3376"/>
      <c r="AA4" s="3355" t="s">
        <v>2640</v>
      </c>
      <c r="AB4" s="3350" t="s">
        <v>2641</v>
      </c>
      <c r="AC4" s="3355" t="s">
        <v>2642</v>
      </c>
    </row>
    <row r="5" spans="1:29" ht="15">
      <c r="A5" s="404"/>
      <c r="B5" s="405"/>
      <c r="C5" s="3379" t="s">
        <v>2535</v>
      </c>
      <c r="D5" s="3380"/>
      <c r="E5" s="3368" t="s">
        <v>2536</v>
      </c>
      <c r="F5" s="3369"/>
      <c r="G5" s="3379" t="s">
        <v>2537</v>
      </c>
      <c r="H5" s="3380"/>
      <c r="I5" s="3379" t="s">
        <v>2538</v>
      </c>
      <c r="J5" s="3380"/>
      <c r="K5" s="610"/>
      <c r="L5" s="1130"/>
      <c r="M5" s="1131"/>
      <c r="N5" s="1131"/>
      <c r="O5" s="1131"/>
      <c r="P5" s="3364"/>
      <c r="Q5" s="3365"/>
      <c r="R5" s="3377"/>
      <c r="S5" s="3378"/>
      <c r="T5" s="3377"/>
      <c r="U5" s="3378"/>
      <c r="V5" s="3350"/>
      <c r="W5" s="3350"/>
      <c r="X5" s="1813"/>
      <c r="Y5" s="3377"/>
      <c r="Z5" s="3378"/>
      <c r="AA5" s="3356"/>
      <c r="AB5" s="3350"/>
      <c r="AC5" s="3356"/>
    </row>
    <row r="6" spans="1:29" ht="15.75" thickBot="1">
      <c r="A6" s="406"/>
      <c r="B6" s="407"/>
      <c r="C6" s="3420" t="s">
        <v>2539</v>
      </c>
      <c r="D6" s="3421"/>
      <c r="E6" s="3422" t="s">
        <v>2539</v>
      </c>
      <c r="F6" s="3423"/>
      <c r="G6" s="3420" t="s">
        <v>2539</v>
      </c>
      <c r="H6" s="3421"/>
      <c r="I6" s="3420" t="s">
        <v>2539</v>
      </c>
      <c r="J6" s="3421"/>
      <c r="K6" s="610" t="s">
        <v>2540</v>
      </c>
      <c r="L6" s="1130"/>
      <c r="M6" s="1131"/>
      <c r="N6" s="1131"/>
      <c r="O6" s="1131"/>
      <c r="P6" s="3366"/>
      <c r="Q6" s="3367"/>
      <c r="R6" s="3377"/>
      <c r="S6" s="3378"/>
      <c r="T6" s="3386"/>
      <c r="U6" s="3387"/>
      <c r="V6" s="3350"/>
      <c r="W6" s="3350"/>
      <c r="X6" s="1813"/>
      <c r="Y6" s="3386"/>
      <c r="Z6" s="3387"/>
      <c r="AA6" s="3357"/>
      <c r="AB6" s="3350"/>
      <c r="AC6" s="3357"/>
    </row>
    <row r="7" spans="1:29" s="117" customFormat="1" ht="15.75" thickBot="1">
      <c r="A7" s="408" t="s">
        <v>2541</v>
      </c>
      <c r="B7" s="409"/>
      <c r="C7" s="410">
        <f>'数据-取费表'!B2</f>
        <v>43544</v>
      </c>
      <c r="D7" s="411">
        <v>100</v>
      </c>
      <c r="E7" s="412"/>
      <c r="F7" s="413">
        <f>SUMIF(58:58,YEAR(E7)&amp;"-"&amp;MONTH(E7),59:59)</f>
        <v>0</v>
      </c>
      <c r="G7" s="412"/>
      <c r="H7" s="411">
        <f>SUMIF(58:58,YEAR(G7)&amp;"-"&amp;MONTH(G7),59:59)</f>
        <v>0</v>
      </c>
      <c r="I7" s="412"/>
      <c r="J7" s="411">
        <f>SUMIF(58:58,YEAR(I7)&amp;"-"&amp;MONTH(I7),59:59)</f>
        <v>0</v>
      </c>
      <c r="K7" s="611"/>
      <c r="L7" s="1132"/>
      <c r="M7" s="1133"/>
      <c r="N7" s="1133"/>
      <c r="O7" s="1133"/>
      <c r="P7" s="3370" t="s">
        <v>2542</v>
      </c>
      <c r="Q7" s="3383"/>
      <c r="R7" s="770" t="s">
        <v>17</v>
      </c>
      <c r="S7" s="771">
        <f t="shared" ref="S7:S15" si="0">F7</f>
        <v>0</v>
      </c>
      <c r="T7" s="770" t="s">
        <v>17</v>
      </c>
      <c r="U7" s="771">
        <f t="shared" ref="U7:U15" si="1">H7</f>
        <v>0</v>
      </c>
      <c r="V7" s="770" t="s">
        <v>17</v>
      </c>
      <c r="W7" s="771">
        <f t="shared" ref="W7:W15" si="2">J7</f>
        <v>0</v>
      </c>
      <c r="X7" s="772"/>
      <c r="Y7" s="3370" t="s">
        <v>2542</v>
      </c>
      <c r="Z7" s="3371"/>
      <c r="AA7" s="773" t="e">
        <f>D7/F7</f>
        <v>#DIV/0!</v>
      </c>
      <c r="AB7" s="773" t="e">
        <f>D7/H7</f>
        <v>#DIV/0!</v>
      </c>
      <c r="AC7" s="773" t="e">
        <f>D7/J7</f>
        <v>#DIV/0!</v>
      </c>
    </row>
    <row r="8" spans="1:29" s="117" customFormat="1" ht="15.75" thickBot="1">
      <c r="A8" s="408" t="s">
        <v>2543</v>
      </c>
      <c r="B8" s="409"/>
      <c r="C8" s="414" t="s">
        <v>2645</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370" t="s">
        <v>2545</v>
      </c>
      <c r="Q8" s="3371"/>
      <c r="R8" s="770" t="s">
        <v>17</v>
      </c>
      <c r="S8" s="771">
        <f t="shared" si="0"/>
        <v>0</v>
      </c>
      <c r="T8" s="770" t="s">
        <v>17</v>
      </c>
      <c r="U8" s="771">
        <f t="shared" si="1"/>
        <v>0</v>
      </c>
      <c r="V8" s="770" t="s">
        <v>17</v>
      </c>
      <c r="W8" s="771">
        <f t="shared" si="2"/>
        <v>0</v>
      </c>
      <c r="X8" s="772"/>
      <c r="Y8" s="3370" t="s">
        <v>2545</v>
      </c>
      <c r="Z8" s="3371"/>
      <c r="AA8" s="773" t="e">
        <f t="shared" ref="AA8:AA46" si="3">D8/F8</f>
        <v>#DIV/0!</v>
      </c>
      <c r="AB8" s="773" t="e">
        <f t="shared" ref="AB8:AB46" si="4">D8/H8</f>
        <v>#DIV/0!</v>
      </c>
      <c r="AC8" s="773" t="e">
        <f t="shared" ref="AC8:AC46" si="5">D8/J8</f>
        <v>#DIV/0!</v>
      </c>
    </row>
    <row r="9" spans="1:29" s="117" customFormat="1">
      <c r="A9" s="415" t="s">
        <v>2546</v>
      </c>
      <c r="B9" s="71" t="s">
        <v>2547</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373" t="s">
        <v>2548</v>
      </c>
      <c r="Q9" s="1795" t="str">
        <f t="shared" ref="Q9:Q15" si="6">B9</f>
        <v>用途</v>
      </c>
      <c r="R9" s="770" t="s">
        <v>17</v>
      </c>
      <c r="S9" s="771">
        <f t="shared" si="0"/>
        <v>100</v>
      </c>
      <c r="T9" s="770" t="s">
        <v>17</v>
      </c>
      <c r="U9" s="771">
        <f t="shared" si="1"/>
        <v>100</v>
      </c>
      <c r="V9" s="770" t="s">
        <v>17</v>
      </c>
      <c r="W9" s="771">
        <f t="shared" si="2"/>
        <v>100</v>
      </c>
      <c r="X9" s="772"/>
      <c r="Y9" s="3204"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373"/>
      <c r="Q10" s="1795" t="str">
        <f t="shared" si="6"/>
        <v>土地使用年限（年）</v>
      </c>
      <c r="R10" s="770" t="s">
        <v>17</v>
      </c>
      <c r="S10" s="771">
        <f t="shared" si="0"/>
        <v>100</v>
      </c>
      <c r="T10" s="770" t="s">
        <v>17</v>
      </c>
      <c r="U10" s="771">
        <f t="shared" si="1"/>
        <v>100</v>
      </c>
      <c r="V10" s="770" t="s">
        <v>17</v>
      </c>
      <c r="W10" s="771">
        <f t="shared" si="2"/>
        <v>100</v>
      </c>
      <c r="X10" s="772"/>
      <c r="Y10" s="3204"/>
      <c r="Z10" s="55" t="str">
        <f t="shared" si="7"/>
        <v>土地使用年限（年）</v>
      </c>
      <c r="AA10" s="773">
        <f t="shared" si="3"/>
        <v>1</v>
      </c>
      <c r="AB10" s="773">
        <f t="shared" si="4"/>
        <v>1</v>
      </c>
      <c r="AC10" s="773">
        <f t="shared" si="5"/>
        <v>1</v>
      </c>
    </row>
    <row r="11" spans="1:29" ht="15">
      <c r="A11" s="428"/>
      <c r="B11" s="422" t="s">
        <v>2551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373"/>
      <c r="Q11" s="1795" t="str">
        <f t="shared" si="6"/>
        <v>容积率</v>
      </c>
      <c r="R11" s="770" t="s">
        <v>17</v>
      </c>
      <c r="S11" s="771" t="e">
        <f t="shared" si="0"/>
        <v>#N/A</v>
      </c>
      <c r="T11" s="770" t="s">
        <v>17</v>
      </c>
      <c r="U11" s="771" t="e">
        <f t="shared" si="1"/>
        <v>#N/A</v>
      </c>
      <c r="V11" s="770" t="s">
        <v>17</v>
      </c>
      <c r="W11" s="771" t="e">
        <f t="shared" si="2"/>
        <v>#N/A</v>
      </c>
      <c r="X11" s="772"/>
      <c r="Y11" s="3204"/>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373"/>
      <c r="Q12" s="1795">
        <f t="shared" si="6"/>
        <v>111</v>
      </c>
      <c r="R12" s="770" t="s">
        <v>17</v>
      </c>
      <c r="S12" s="771">
        <f t="shared" si="0"/>
        <v>100</v>
      </c>
      <c r="T12" s="770" t="s">
        <v>17</v>
      </c>
      <c r="U12" s="771">
        <f t="shared" si="1"/>
        <v>100</v>
      </c>
      <c r="V12" s="770" t="s">
        <v>17</v>
      </c>
      <c r="W12" s="771">
        <f t="shared" si="2"/>
        <v>100</v>
      </c>
      <c r="X12" s="772"/>
      <c r="Y12" s="3204"/>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373"/>
      <c r="Q13" s="1795">
        <f t="shared" si="6"/>
        <v>111</v>
      </c>
      <c r="R13" s="770" t="s">
        <v>17</v>
      </c>
      <c r="S13" s="771">
        <f t="shared" si="0"/>
        <v>100</v>
      </c>
      <c r="T13" s="770" t="s">
        <v>17</v>
      </c>
      <c r="U13" s="771">
        <f t="shared" si="1"/>
        <v>100</v>
      </c>
      <c r="V13" s="770" t="s">
        <v>17</v>
      </c>
      <c r="W13" s="771">
        <f t="shared" si="2"/>
        <v>100</v>
      </c>
      <c r="X13" s="772"/>
      <c r="Y13" s="3204"/>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373"/>
      <c r="Q14" s="1795">
        <f t="shared" si="6"/>
        <v>111</v>
      </c>
      <c r="R14" s="770" t="s">
        <v>17</v>
      </c>
      <c r="S14" s="771">
        <f t="shared" si="0"/>
        <v>100</v>
      </c>
      <c r="T14" s="770" t="s">
        <v>17</v>
      </c>
      <c r="U14" s="771">
        <f t="shared" si="1"/>
        <v>100</v>
      </c>
      <c r="V14" s="770" t="s">
        <v>17</v>
      </c>
      <c r="W14" s="771">
        <f t="shared" si="2"/>
        <v>100</v>
      </c>
      <c r="X14" s="772"/>
      <c r="Y14" s="3204"/>
      <c r="Z14" s="55">
        <f t="shared" si="7"/>
        <v>111</v>
      </c>
      <c r="AA14" s="773">
        <f t="shared" si="3"/>
        <v>1</v>
      </c>
      <c r="AB14" s="773">
        <f t="shared" si="4"/>
        <v>1</v>
      </c>
      <c r="AC14" s="773">
        <f t="shared" si="5"/>
        <v>1</v>
      </c>
    </row>
    <row r="15" spans="1:29" ht="71.25">
      <c r="A15" s="440" t="s">
        <v>2552</v>
      </c>
      <c r="B15" s="69" t="s">
        <v>2646</v>
      </c>
      <c r="C15" s="2602"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430" t="s">
        <v>2553</v>
      </c>
      <c r="Q15" s="1810" t="str">
        <f t="shared" si="6"/>
        <v>商业繁华度</v>
      </c>
      <c r="R15" s="774" t="s">
        <v>17</v>
      </c>
      <c r="S15" s="775">
        <f t="shared" si="0"/>
        <v>100</v>
      </c>
      <c r="T15" s="774" t="s">
        <v>17</v>
      </c>
      <c r="U15" s="775">
        <f t="shared" si="1"/>
        <v>100</v>
      </c>
      <c r="V15" s="774" t="s">
        <v>17</v>
      </c>
      <c r="W15" s="775">
        <f t="shared" si="2"/>
        <v>100</v>
      </c>
      <c r="X15" s="1813"/>
      <c r="Y15" s="3351" t="s">
        <v>2553</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431"/>
      <c r="Q16" s="1810"/>
      <c r="R16" s="774"/>
      <c r="S16" s="775"/>
      <c r="T16" s="774"/>
      <c r="U16" s="775"/>
      <c r="V16" s="774"/>
      <c r="W16" s="775"/>
      <c r="X16" s="1813"/>
      <c r="Y16" s="3352"/>
      <c r="Z16" s="1814"/>
      <c r="AA16" s="1811">
        <v>1</v>
      </c>
      <c r="AB16" s="1811">
        <v>1</v>
      </c>
      <c r="AC16" s="1811">
        <v>1</v>
      </c>
    </row>
    <row r="17" spans="1:29" ht="85.5">
      <c r="A17" s="428"/>
      <c r="B17" s="451" t="s">
        <v>2091</v>
      </c>
      <c r="C17" s="2606"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431"/>
      <c r="Q17" s="1810" t="str">
        <f>B17</f>
        <v>交通便捷度</v>
      </c>
      <c r="R17" s="774" t="s">
        <v>17</v>
      </c>
      <c r="S17" s="775">
        <f>F17</f>
        <v>100</v>
      </c>
      <c r="T17" s="774" t="s">
        <v>17</v>
      </c>
      <c r="U17" s="775">
        <f>H17</f>
        <v>100</v>
      </c>
      <c r="V17" s="774" t="s">
        <v>17</v>
      </c>
      <c r="W17" s="775">
        <f>J17</f>
        <v>100</v>
      </c>
      <c r="X17" s="1813"/>
      <c r="Y17" s="3352"/>
      <c r="Z17" s="1814" t="str">
        <f>Q17</f>
        <v>交通便捷度</v>
      </c>
      <c r="AA17" s="1811">
        <f t="shared" si="3"/>
        <v>1</v>
      </c>
      <c r="AB17" s="1811">
        <f t="shared" si="4"/>
        <v>1</v>
      </c>
      <c r="AC17" s="1811">
        <f t="shared" si="5"/>
        <v>1</v>
      </c>
    </row>
    <row r="18" spans="1:29" ht="15">
      <c r="A18" s="428"/>
      <c r="B18" s="456"/>
      <c r="C18" s="2607"/>
      <c r="D18" s="450"/>
      <c r="E18" s="2609"/>
      <c r="F18" s="453"/>
      <c r="G18" s="2608"/>
      <c r="H18" s="448"/>
      <c r="I18" s="2609"/>
      <c r="J18" s="448"/>
      <c r="K18" s="615"/>
      <c r="L18" s="1140"/>
      <c r="M18" s="1131"/>
      <c r="N18" s="1131"/>
      <c r="O18" s="1131"/>
      <c r="P18" s="3431"/>
      <c r="Q18" s="1810"/>
      <c r="R18" s="774"/>
      <c r="S18" s="775"/>
      <c r="T18" s="774"/>
      <c r="U18" s="775"/>
      <c r="V18" s="774"/>
      <c r="W18" s="775"/>
      <c r="X18" s="1813"/>
      <c r="Y18" s="3352"/>
      <c r="Z18" s="1814"/>
      <c r="AA18" s="1811">
        <v>1</v>
      </c>
      <c r="AB18" s="1811">
        <v>1</v>
      </c>
      <c r="AC18" s="1811">
        <v>1</v>
      </c>
    </row>
    <row r="19" spans="1:29" ht="42.75">
      <c r="A19" s="428"/>
      <c r="B19" s="451" t="s">
        <v>2647</v>
      </c>
      <c r="C19" s="2606"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431"/>
      <c r="Q19" s="1810" t="str">
        <f>B19</f>
        <v>公共配套设施</v>
      </c>
      <c r="R19" s="774" t="s">
        <v>17</v>
      </c>
      <c r="S19" s="775">
        <f>F19</f>
        <v>100</v>
      </c>
      <c r="T19" s="774" t="s">
        <v>17</v>
      </c>
      <c r="U19" s="775">
        <f>H19</f>
        <v>100</v>
      </c>
      <c r="V19" s="774" t="s">
        <v>17</v>
      </c>
      <c r="W19" s="775">
        <f>J19</f>
        <v>100</v>
      </c>
      <c r="X19" s="1813"/>
      <c r="Y19" s="3352"/>
      <c r="Z19" s="1814" t="str">
        <f>Q19</f>
        <v>公共配套设施</v>
      </c>
      <c r="AA19" s="1811">
        <f t="shared" si="3"/>
        <v>1</v>
      </c>
      <c r="AB19" s="1811">
        <f t="shared" si="4"/>
        <v>1</v>
      </c>
      <c r="AC19" s="1811">
        <f t="shared" si="5"/>
        <v>1</v>
      </c>
    </row>
    <row r="20" spans="1:29" ht="15">
      <c r="A20" s="428"/>
      <c r="B20" s="456"/>
      <c r="C20" s="447"/>
      <c r="D20" s="448"/>
      <c r="E20" s="2604"/>
      <c r="F20" s="449"/>
      <c r="G20" s="2603"/>
      <c r="H20" s="448"/>
      <c r="I20" s="2604"/>
      <c r="J20" s="448"/>
      <c r="K20" s="615"/>
      <c r="L20" s="1140"/>
      <c r="M20" s="1131"/>
      <c r="N20" s="1131"/>
      <c r="O20" s="1131"/>
      <c r="P20" s="3431"/>
      <c r="Q20" s="1810"/>
      <c r="R20" s="774"/>
      <c r="S20" s="775"/>
      <c r="T20" s="774"/>
      <c r="U20" s="775"/>
      <c r="V20" s="774"/>
      <c r="W20" s="775"/>
      <c r="X20" s="1813"/>
      <c r="Y20" s="3352"/>
      <c r="Z20" s="1814"/>
      <c r="AA20" s="1811">
        <v>1</v>
      </c>
      <c r="AB20" s="1811">
        <v>1</v>
      </c>
      <c r="AC20" s="1811">
        <v>1</v>
      </c>
    </row>
    <row r="21" spans="1:29" ht="28.5">
      <c r="A21" s="428"/>
      <c r="B21" s="1384" t="s">
        <v>2648</v>
      </c>
      <c r="C21" s="2606"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431"/>
      <c r="Q21" s="1810" t="str">
        <f>B21</f>
        <v>基础设施水平</v>
      </c>
      <c r="R21" s="774" t="s">
        <v>17</v>
      </c>
      <c r="S21" s="775">
        <f>F21</f>
        <v>100</v>
      </c>
      <c r="T21" s="774" t="s">
        <v>17</v>
      </c>
      <c r="U21" s="775">
        <f>H21</f>
        <v>100</v>
      </c>
      <c r="V21" s="774" t="s">
        <v>17</v>
      </c>
      <c r="W21" s="775">
        <f>J21</f>
        <v>100</v>
      </c>
      <c r="X21" s="1813"/>
      <c r="Y21" s="3352"/>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9"/>
      <c r="G22" s="447"/>
      <c r="H22" s="448"/>
      <c r="I22" s="447"/>
      <c r="J22" s="448"/>
      <c r="K22" s="1383"/>
      <c r="L22" s="1140"/>
      <c r="M22" s="1131"/>
      <c r="N22" s="1131"/>
      <c r="O22" s="1131"/>
      <c r="P22" s="3431"/>
      <c r="Q22" s="1810"/>
      <c r="R22" s="774"/>
      <c r="S22" s="775"/>
      <c r="T22" s="774"/>
      <c r="U22" s="775"/>
      <c r="V22" s="774"/>
      <c r="W22" s="775"/>
      <c r="X22" s="1813"/>
      <c r="Y22" s="3352"/>
      <c r="Z22" s="1814"/>
      <c r="AA22" s="1811">
        <v>1</v>
      </c>
      <c r="AB22" s="1811">
        <v>1</v>
      </c>
      <c r="AC22" s="1811">
        <v>1</v>
      </c>
    </row>
    <row r="23" spans="1:29" ht="57">
      <c r="A23" s="428"/>
      <c r="B23" s="451" t="s">
        <v>2096</v>
      </c>
      <c r="C23" s="2663"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431"/>
      <c r="Q23" s="1810" t="str">
        <f>B23</f>
        <v>自然及人文环境</v>
      </c>
      <c r="R23" s="774" t="s">
        <v>17</v>
      </c>
      <c r="S23" s="775">
        <f>F23</f>
        <v>100</v>
      </c>
      <c r="T23" s="774" t="s">
        <v>17</v>
      </c>
      <c r="U23" s="775">
        <f>H23</f>
        <v>100</v>
      </c>
      <c r="V23" s="774" t="s">
        <v>17</v>
      </c>
      <c r="W23" s="775">
        <f>J23</f>
        <v>100</v>
      </c>
      <c r="X23" s="1813"/>
      <c r="Y23" s="3352"/>
      <c r="Z23" s="1814" t="str">
        <f>Q23</f>
        <v>自然及人文环境</v>
      </c>
      <c r="AA23" s="1811">
        <f t="shared" si="3"/>
        <v>1</v>
      </c>
      <c r="AB23" s="1811">
        <f t="shared" si="4"/>
        <v>1</v>
      </c>
      <c r="AC23" s="1811">
        <f t="shared" si="5"/>
        <v>1</v>
      </c>
    </row>
    <row r="24" spans="1:29" ht="15">
      <c r="A24" s="428"/>
      <c r="B24" s="456"/>
      <c r="C24" s="447"/>
      <c r="D24" s="448"/>
      <c r="E24" s="2604"/>
      <c r="F24" s="449"/>
      <c r="G24" s="2603"/>
      <c r="H24" s="448"/>
      <c r="I24" s="2604"/>
      <c r="J24" s="448"/>
      <c r="K24" s="615"/>
      <c r="L24" s="1140"/>
      <c r="M24" s="1131"/>
      <c r="N24" s="1131"/>
      <c r="O24" s="1131"/>
      <c r="P24" s="3431"/>
      <c r="Q24" s="1810"/>
      <c r="R24" s="774"/>
      <c r="S24" s="775"/>
      <c r="T24" s="774"/>
      <c r="U24" s="775"/>
      <c r="V24" s="774"/>
      <c r="W24" s="775"/>
      <c r="X24" s="1813"/>
      <c r="Y24" s="3352"/>
      <c r="Z24" s="1814"/>
      <c r="AA24" s="1811">
        <v>1</v>
      </c>
      <c r="AB24" s="1811">
        <v>1</v>
      </c>
      <c r="AC24" s="1811">
        <v>1</v>
      </c>
    </row>
    <row r="25" spans="1:29" ht="15">
      <c r="A25" s="428"/>
      <c r="B25" s="422" t="s">
        <v>2649</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431"/>
      <c r="Q25" s="1810" t="str">
        <f t="shared" ref="Q25:Q46" si="11">B25</f>
        <v>临街状况</v>
      </c>
      <c r="R25" s="774" t="s">
        <v>17</v>
      </c>
      <c r="S25" s="775">
        <f>F25</f>
        <v>100</v>
      </c>
      <c r="T25" s="774" t="s">
        <v>17</v>
      </c>
      <c r="U25" s="775">
        <f>H25</f>
        <v>100</v>
      </c>
      <c r="V25" s="774" t="s">
        <v>17</v>
      </c>
      <c r="W25" s="775">
        <f>J25</f>
        <v>100</v>
      </c>
      <c r="X25" s="1813"/>
      <c r="Y25" s="3352"/>
      <c r="Z25" s="1814" t="str">
        <f>Q25</f>
        <v>临街状况</v>
      </c>
      <c r="AA25" s="1811">
        <f t="shared" si="3"/>
        <v>1</v>
      </c>
      <c r="AB25" s="1811">
        <f t="shared" si="4"/>
        <v>1</v>
      </c>
      <c r="AC25" s="1811">
        <f t="shared" si="5"/>
        <v>1</v>
      </c>
    </row>
    <row r="26" spans="1:29" ht="15">
      <c r="A26" s="428"/>
      <c r="B26" s="1386" t="s">
        <v>2650</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431"/>
      <c r="Q26" s="1810" t="str">
        <f t="shared" si="11"/>
        <v>平面位置/可视性</v>
      </c>
      <c r="R26" s="774" t="s">
        <v>17</v>
      </c>
      <c r="S26" s="775">
        <f>F26</f>
        <v>100</v>
      </c>
      <c r="T26" s="774" t="s">
        <v>17</v>
      </c>
      <c r="U26" s="775">
        <f>H26</f>
        <v>100</v>
      </c>
      <c r="V26" s="774" t="s">
        <v>17</v>
      </c>
      <c r="W26" s="775">
        <f>J26</f>
        <v>100</v>
      </c>
      <c r="X26" s="1813"/>
      <c r="Y26" s="3352"/>
      <c r="Z26" s="1814" t="str">
        <f>Q26</f>
        <v>平面位置/可视性</v>
      </c>
      <c r="AA26" s="1811">
        <f t="shared" si="3"/>
        <v>1</v>
      </c>
      <c r="AB26" s="1811">
        <f t="shared" si="4"/>
        <v>1</v>
      </c>
      <c r="AC26" s="1811">
        <f t="shared" si="5"/>
        <v>1</v>
      </c>
    </row>
    <row r="27" spans="1:29" s="117" customFormat="1" ht="15">
      <c r="A27" s="431"/>
      <c r="B27" s="451" t="s">
        <v>2651</v>
      </c>
      <c r="C27" s="2664"/>
      <c r="D27" s="462">
        <v>100</v>
      </c>
      <c r="E27" s="2664"/>
      <c r="F27" s="464">
        <f>SUMIF(90:90,E27,91:91)-SUMIF(90:90,C27,91:91)+100</f>
        <v>100</v>
      </c>
      <c r="G27" s="2664"/>
      <c r="H27" s="462">
        <f>SUMIF(90:90,G27,91:91)-SUMIF(90:90,C27,91:91)+100</f>
        <v>100</v>
      </c>
      <c r="I27" s="2664"/>
      <c r="J27" s="462">
        <f>SUMIF(90:90,I27,91:91)-SUMIF(90:90,C27,91:91)+100</f>
        <v>100</v>
      </c>
      <c r="K27" s="612"/>
      <c r="L27" s="1132"/>
      <c r="M27" s="1133"/>
      <c r="N27" s="1133"/>
      <c r="O27" s="1133"/>
      <c r="P27" s="3431"/>
      <c r="Q27" s="1795" t="str">
        <f t="shared" si="11"/>
        <v>人流量</v>
      </c>
      <c r="R27" s="770" t="s">
        <v>17</v>
      </c>
      <c r="S27" s="771">
        <f>F27</f>
        <v>100</v>
      </c>
      <c r="T27" s="770" t="s">
        <v>17</v>
      </c>
      <c r="U27" s="771">
        <f>H27</f>
        <v>100</v>
      </c>
      <c r="V27" s="770" t="s">
        <v>17</v>
      </c>
      <c r="W27" s="771">
        <f>J27</f>
        <v>100</v>
      </c>
      <c r="X27" s="772"/>
      <c r="Y27" s="3352"/>
      <c r="Z27" s="55" t="str">
        <f>Q27</f>
        <v>人流量</v>
      </c>
      <c r="AA27" s="1811">
        <f>D27/F27</f>
        <v>1</v>
      </c>
      <c r="AB27" s="1811">
        <f>D27/H27</f>
        <v>1</v>
      </c>
      <c r="AC27" s="1811">
        <f>D27/J27</f>
        <v>1</v>
      </c>
    </row>
    <row r="28" spans="1:29" ht="15">
      <c r="A28" s="428"/>
      <c r="B28" s="422" t="s">
        <v>2652</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431"/>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352"/>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431"/>
      <c r="Q29" s="1810">
        <f t="shared" si="11"/>
        <v>111</v>
      </c>
      <c r="R29" s="774" t="s">
        <v>17</v>
      </c>
      <c r="S29" s="775">
        <f t="shared" si="12"/>
        <v>100</v>
      </c>
      <c r="T29" s="774" t="s">
        <v>17</v>
      </c>
      <c r="U29" s="775">
        <f t="shared" si="13"/>
        <v>100</v>
      </c>
      <c r="V29" s="774" t="s">
        <v>17</v>
      </c>
      <c r="W29" s="775">
        <f t="shared" si="14"/>
        <v>100</v>
      </c>
      <c r="X29" s="1813"/>
      <c r="Y29" s="3352"/>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431"/>
      <c r="Q30" s="1810">
        <f t="shared" si="11"/>
        <v>111</v>
      </c>
      <c r="R30" s="774" t="s">
        <v>17</v>
      </c>
      <c r="S30" s="775">
        <f t="shared" si="12"/>
        <v>100</v>
      </c>
      <c r="T30" s="774" t="s">
        <v>17</v>
      </c>
      <c r="U30" s="775">
        <f t="shared" si="13"/>
        <v>100</v>
      </c>
      <c r="V30" s="774" t="s">
        <v>17</v>
      </c>
      <c r="W30" s="775">
        <f t="shared" si="14"/>
        <v>100</v>
      </c>
      <c r="X30" s="1813"/>
      <c r="Y30" s="3352"/>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431"/>
      <c r="Q31" s="1810">
        <f t="shared" si="11"/>
        <v>111</v>
      </c>
      <c r="R31" s="774" t="s">
        <v>17</v>
      </c>
      <c r="S31" s="775">
        <f t="shared" si="12"/>
        <v>100</v>
      </c>
      <c r="T31" s="774" t="s">
        <v>17</v>
      </c>
      <c r="U31" s="775">
        <f t="shared" si="13"/>
        <v>100</v>
      </c>
      <c r="V31" s="774" t="s">
        <v>17</v>
      </c>
      <c r="W31" s="775">
        <f t="shared" si="14"/>
        <v>100</v>
      </c>
      <c r="X31" s="1813"/>
      <c r="Y31" s="3352"/>
      <c r="Z31" s="1814">
        <f t="shared" si="15"/>
        <v>111</v>
      </c>
      <c r="AA31" s="1811">
        <f t="shared" si="3"/>
        <v>1</v>
      </c>
      <c r="AB31" s="1811">
        <f t="shared" si="4"/>
        <v>1</v>
      </c>
      <c r="AC31" s="1811">
        <f t="shared" si="5"/>
        <v>1</v>
      </c>
    </row>
    <row r="32" spans="1:29" ht="15">
      <c r="A32" s="440" t="s">
        <v>2556</v>
      </c>
      <c r="B32" s="71" t="s">
        <v>2653</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0"/>
      <c r="M32" s="1131"/>
      <c r="N32" s="1131"/>
      <c r="O32" s="1131"/>
      <c r="P32" s="3426" t="s">
        <v>2558</v>
      </c>
      <c r="Q32" s="1810" t="str">
        <f t="shared" si="11"/>
        <v>商业类型</v>
      </c>
      <c r="R32" s="774" t="s">
        <v>17</v>
      </c>
      <c r="S32" s="775">
        <f t="shared" si="12"/>
        <v>100</v>
      </c>
      <c r="T32" s="774" t="s">
        <v>17</v>
      </c>
      <c r="U32" s="775">
        <f t="shared" si="13"/>
        <v>100</v>
      </c>
      <c r="V32" s="774" t="s">
        <v>17</v>
      </c>
      <c r="W32" s="775">
        <f t="shared" si="14"/>
        <v>100</v>
      </c>
      <c r="X32" s="1813"/>
      <c r="Y32" s="3354" t="s">
        <v>2558</v>
      </c>
      <c r="Z32" s="1814" t="str">
        <f t="shared" si="15"/>
        <v>商业类型</v>
      </c>
      <c r="AA32" s="1811">
        <f t="shared" si="3"/>
        <v>1</v>
      </c>
      <c r="AB32" s="1811">
        <f t="shared" si="4"/>
        <v>1</v>
      </c>
      <c r="AC32" s="1811">
        <f t="shared" si="5"/>
        <v>1</v>
      </c>
    </row>
    <row r="33" spans="1:29" s="471" customFormat="1" ht="15">
      <c r="A33" s="468"/>
      <c r="B33" s="422" t="s">
        <v>2559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427"/>
      <c r="Q33" s="776" t="str">
        <f t="shared" si="11"/>
        <v>项目建筑规模</v>
      </c>
      <c r="R33" s="777" t="s">
        <v>17</v>
      </c>
      <c r="S33" s="778" t="e">
        <f t="shared" si="12"/>
        <v>#N/A</v>
      </c>
      <c r="T33" s="777" t="s">
        <v>17</v>
      </c>
      <c r="U33" s="778" t="e">
        <f t="shared" si="13"/>
        <v>#N/A</v>
      </c>
      <c r="V33" s="777" t="s">
        <v>17</v>
      </c>
      <c r="W33" s="778" t="e">
        <f t="shared" si="14"/>
        <v>#N/A</v>
      </c>
      <c r="X33" s="779"/>
      <c r="Y33" s="3354"/>
      <c r="Z33" s="780" t="str">
        <f t="shared" si="15"/>
        <v>项目建筑规模</v>
      </c>
      <c r="AA33" s="1811" t="e">
        <f t="shared" si="3"/>
        <v>#N/A</v>
      </c>
      <c r="AB33" s="1811" t="e">
        <f t="shared" si="4"/>
        <v>#N/A</v>
      </c>
      <c r="AC33" s="1811" t="e">
        <f t="shared" si="5"/>
        <v>#N/A</v>
      </c>
    </row>
    <row r="34" spans="1:29" ht="15">
      <c r="A34" s="472"/>
      <c r="B34" s="422" t="s">
        <v>2560</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0"/>
      <c r="M34" s="1131"/>
      <c r="N34" s="1131"/>
      <c r="O34" s="1131"/>
      <c r="P34" s="3427"/>
      <c r="Q34" s="1810" t="str">
        <f t="shared" si="11"/>
        <v>建筑结构</v>
      </c>
      <c r="R34" s="774" t="s">
        <v>17</v>
      </c>
      <c r="S34" s="775">
        <f t="shared" si="12"/>
        <v>100</v>
      </c>
      <c r="T34" s="774" t="s">
        <v>17</v>
      </c>
      <c r="U34" s="775">
        <f t="shared" si="13"/>
        <v>100</v>
      </c>
      <c r="V34" s="774" t="s">
        <v>17</v>
      </c>
      <c r="W34" s="775">
        <f t="shared" si="14"/>
        <v>100</v>
      </c>
      <c r="X34" s="1813"/>
      <c r="Y34" s="3354"/>
      <c r="Z34" s="1814" t="str">
        <f t="shared" si="15"/>
        <v>建筑结构</v>
      </c>
      <c r="AA34" s="1811">
        <f t="shared" si="3"/>
        <v>1</v>
      </c>
      <c r="AB34" s="1811">
        <f t="shared" si="4"/>
        <v>1</v>
      </c>
      <c r="AC34" s="1811">
        <f t="shared" si="5"/>
        <v>1</v>
      </c>
    </row>
    <row r="35" spans="1:29" ht="15">
      <c r="A35" s="472"/>
      <c r="B35" s="422" t="s">
        <v>2654</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0"/>
      <c r="M35" s="1131"/>
      <c r="N35" s="1131"/>
      <c r="O35" s="1131"/>
      <c r="P35" s="3427"/>
      <c r="Q35" s="1810" t="str">
        <f t="shared" si="11"/>
        <v>公共部分装修</v>
      </c>
      <c r="R35" s="774" t="s">
        <v>17</v>
      </c>
      <c r="S35" s="775">
        <f t="shared" si="12"/>
        <v>100</v>
      </c>
      <c r="T35" s="774" t="s">
        <v>17</v>
      </c>
      <c r="U35" s="775">
        <f t="shared" si="13"/>
        <v>100</v>
      </c>
      <c r="V35" s="774" t="s">
        <v>17</v>
      </c>
      <c r="W35" s="775">
        <f t="shared" si="14"/>
        <v>100</v>
      </c>
      <c r="X35" s="1813"/>
      <c r="Y35" s="3354"/>
      <c r="Z35" s="1814" t="str">
        <f t="shared" si="15"/>
        <v>公共部分装修</v>
      </c>
      <c r="AA35" s="1811">
        <f t="shared" si="3"/>
        <v>1</v>
      </c>
      <c r="AB35" s="1811">
        <f t="shared" si="4"/>
        <v>1</v>
      </c>
      <c r="AC35" s="1811">
        <f t="shared" si="5"/>
        <v>1</v>
      </c>
    </row>
    <row r="36" spans="1:29" ht="15">
      <c r="A36" s="472"/>
      <c r="B36" s="422" t="s">
        <v>2655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427"/>
      <c r="Q36" s="1810" t="str">
        <f t="shared" si="11"/>
        <v>成新度</v>
      </c>
      <c r="R36" s="774" t="s">
        <v>17</v>
      </c>
      <c r="S36" s="775" t="e">
        <f t="shared" si="12"/>
        <v>#N/A</v>
      </c>
      <c r="T36" s="774" t="s">
        <v>17</v>
      </c>
      <c r="U36" s="775" t="e">
        <f t="shared" si="13"/>
        <v>#N/A</v>
      </c>
      <c r="V36" s="774" t="s">
        <v>17</v>
      </c>
      <c r="W36" s="775" t="e">
        <f t="shared" si="14"/>
        <v>#N/A</v>
      </c>
      <c r="X36" s="1813"/>
      <c r="Y36" s="3354"/>
      <c r="Z36" s="1814" t="str">
        <f t="shared" si="15"/>
        <v>成新度</v>
      </c>
      <c r="AA36" s="1811" t="e">
        <f t="shared" si="3"/>
        <v>#N/A</v>
      </c>
      <c r="AB36" s="1811" t="e">
        <f t="shared" si="4"/>
        <v>#N/A</v>
      </c>
      <c r="AC36" s="1811" t="e">
        <f t="shared" si="5"/>
        <v>#N/A</v>
      </c>
    </row>
    <row r="37" spans="1:29" s="117" customFormat="1" ht="15">
      <c r="A37" s="473"/>
      <c r="B37" s="422" t="s">
        <v>2656</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2"/>
      <c r="M37" s="1133"/>
      <c r="N37" s="1133"/>
      <c r="O37" s="1133"/>
      <c r="P37" s="3427"/>
      <c r="Q37" s="1795" t="str">
        <f t="shared" si="11"/>
        <v>市政基础设施</v>
      </c>
      <c r="R37" s="770" t="s">
        <v>17</v>
      </c>
      <c r="S37" s="771">
        <f t="shared" si="12"/>
        <v>100</v>
      </c>
      <c r="T37" s="770" t="s">
        <v>17</v>
      </c>
      <c r="U37" s="771">
        <f t="shared" si="13"/>
        <v>100</v>
      </c>
      <c r="V37" s="770" t="s">
        <v>17</v>
      </c>
      <c r="W37" s="771">
        <f t="shared" si="14"/>
        <v>100</v>
      </c>
      <c r="X37" s="772"/>
      <c r="Y37" s="3354"/>
      <c r="Z37" s="55" t="str">
        <f t="shared" si="15"/>
        <v>市政基础设施</v>
      </c>
      <c r="AA37" s="773">
        <f t="shared" si="3"/>
        <v>1</v>
      </c>
      <c r="AB37" s="773">
        <f t="shared" si="4"/>
        <v>1</v>
      </c>
      <c r="AC37" s="773">
        <f t="shared" si="5"/>
        <v>1</v>
      </c>
    </row>
    <row r="38" spans="1:29" ht="15">
      <c r="A38" s="472"/>
      <c r="B38" s="422" t="s">
        <v>2657</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0"/>
      <c r="M38" s="1131"/>
      <c r="N38" s="1131"/>
      <c r="O38" s="1131"/>
      <c r="P38" s="3427" t="s">
        <v>2558</v>
      </c>
      <c r="Q38" s="1810" t="str">
        <f t="shared" si="11"/>
        <v>业态</v>
      </c>
      <c r="R38" s="774" t="s">
        <v>17</v>
      </c>
      <c r="S38" s="775">
        <f t="shared" si="12"/>
        <v>100</v>
      </c>
      <c r="T38" s="774" t="s">
        <v>17</v>
      </c>
      <c r="U38" s="775">
        <f t="shared" si="13"/>
        <v>100</v>
      </c>
      <c r="V38" s="774" t="s">
        <v>17</v>
      </c>
      <c r="W38" s="775">
        <f t="shared" si="14"/>
        <v>100</v>
      </c>
      <c r="X38" s="1813"/>
      <c r="Y38" s="3354" t="s">
        <v>2558</v>
      </c>
      <c r="Z38" s="1814" t="str">
        <f t="shared" si="15"/>
        <v>业态</v>
      </c>
      <c r="AA38" s="1811">
        <f t="shared" si="3"/>
        <v>1</v>
      </c>
      <c r="AB38" s="1811">
        <f t="shared" si="4"/>
        <v>1</v>
      </c>
      <c r="AC38" s="1811">
        <f t="shared" si="5"/>
        <v>1</v>
      </c>
    </row>
    <row r="39" spans="1:29" ht="15">
      <c r="A39" s="472"/>
      <c r="B39" s="422" t="s">
        <v>2658</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0"/>
      <c r="M39" s="1131"/>
      <c r="N39" s="1131"/>
      <c r="O39" s="1131"/>
      <c r="P39" s="3427"/>
      <c r="Q39" s="1810" t="str">
        <f t="shared" si="11"/>
        <v>层高</v>
      </c>
      <c r="R39" s="774" t="s">
        <v>17</v>
      </c>
      <c r="S39" s="775">
        <f t="shared" si="12"/>
        <v>100</v>
      </c>
      <c r="T39" s="774" t="s">
        <v>17</v>
      </c>
      <c r="U39" s="775">
        <f t="shared" si="13"/>
        <v>100</v>
      </c>
      <c r="V39" s="774" t="s">
        <v>17</v>
      </c>
      <c r="W39" s="775">
        <f t="shared" si="14"/>
        <v>100</v>
      </c>
      <c r="X39" s="1813"/>
      <c r="Y39" s="3354"/>
      <c r="Z39" s="1814" t="str">
        <f t="shared" si="15"/>
        <v>层高</v>
      </c>
      <c r="AA39" s="1811">
        <f t="shared" si="3"/>
        <v>1</v>
      </c>
      <c r="AB39" s="1811">
        <f t="shared" si="4"/>
        <v>1</v>
      </c>
      <c r="AC39" s="1811">
        <f t="shared" si="5"/>
        <v>1</v>
      </c>
    </row>
    <row r="40" spans="1:29" ht="15">
      <c r="A40" s="472"/>
      <c r="B40" s="422" t="s">
        <v>2659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427"/>
      <c r="Q40" s="1810" t="str">
        <f t="shared" si="11"/>
        <v>单套建筑面积</v>
      </c>
      <c r="R40" s="774" t="s">
        <v>17</v>
      </c>
      <c r="S40" s="775">
        <f t="shared" si="12"/>
        <v>100</v>
      </c>
      <c r="T40" s="774" t="s">
        <v>17</v>
      </c>
      <c r="U40" s="775">
        <f t="shared" si="13"/>
        <v>100</v>
      </c>
      <c r="V40" s="774" t="s">
        <v>17</v>
      </c>
      <c r="W40" s="775">
        <f t="shared" si="14"/>
        <v>100</v>
      </c>
      <c r="X40" s="1813"/>
      <c r="Y40" s="3354"/>
      <c r="Z40" s="1814" t="str">
        <f t="shared" si="15"/>
        <v>单套建筑面积</v>
      </c>
      <c r="AA40" s="1811">
        <f t="shared" si="3"/>
        <v>1</v>
      </c>
      <c r="AB40" s="1811">
        <f t="shared" si="4"/>
        <v>1</v>
      </c>
      <c r="AC40" s="1811">
        <f t="shared" si="5"/>
        <v>1</v>
      </c>
    </row>
    <row r="41" spans="1:29" s="471" customFormat="1" ht="15">
      <c r="A41" s="468"/>
      <c r="B41" s="1812" t="s">
        <v>2660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427"/>
      <c r="Q41" s="776" t="str">
        <f t="shared" si="11"/>
        <v>进深比</v>
      </c>
      <c r="R41" s="777" t="s">
        <v>17</v>
      </c>
      <c r="S41" s="778">
        <f t="shared" si="12"/>
        <v>100</v>
      </c>
      <c r="T41" s="777" t="s">
        <v>17</v>
      </c>
      <c r="U41" s="778">
        <f t="shared" si="13"/>
        <v>100</v>
      </c>
      <c r="V41" s="777" t="s">
        <v>17</v>
      </c>
      <c r="W41" s="778">
        <f t="shared" si="14"/>
        <v>100</v>
      </c>
      <c r="X41" s="779"/>
      <c r="Y41" s="3354"/>
      <c r="Z41" s="780" t="str">
        <f t="shared" si="15"/>
        <v>进深比</v>
      </c>
      <c r="AA41" s="1811">
        <f t="shared" si="3"/>
        <v>1</v>
      </c>
      <c r="AB41" s="1811">
        <f t="shared" si="4"/>
        <v>1</v>
      </c>
      <c r="AC41" s="1811">
        <f t="shared" si="5"/>
        <v>1</v>
      </c>
    </row>
    <row r="42" spans="1:29" ht="15">
      <c r="A42" s="472"/>
      <c r="B42" s="422" t="s">
        <v>2661</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0"/>
      <c r="M42" s="1131"/>
      <c r="N42" s="1131"/>
      <c r="O42" s="1131"/>
      <c r="P42" s="3427"/>
      <c r="Q42" s="1810" t="str">
        <f t="shared" si="11"/>
        <v>内部装修</v>
      </c>
      <c r="R42" s="774" t="s">
        <v>17</v>
      </c>
      <c r="S42" s="775">
        <f t="shared" si="12"/>
        <v>100</v>
      </c>
      <c r="T42" s="774" t="s">
        <v>17</v>
      </c>
      <c r="U42" s="775">
        <f t="shared" si="13"/>
        <v>100</v>
      </c>
      <c r="V42" s="774" t="s">
        <v>17</v>
      </c>
      <c r="W42" s="775">
        <f t="shared" si="14"/>
        <v>100</v>
      </c>
      <c r="X42" s="1813"/>
      <c r="Y42" s="3354"/>
      <c r="Z42" s="1814" t="str">
        <f t="shared" si="15"/>
        <v>内部装修</v>
      </c>
      <c r="AA42" s="1811">
        <f t="shared" si="3"/>
        <v>1</v>
      </c>
      <c r="AB42" s="1811">
        <f t="shared" si="4"/>
        <v>1</v>
      </c>
      <c r="AC42" s="1811">
        <f t="shared" si="5"/>
        <v>1</v>
      </c>
    </row>
    <row r="43" spans="1:29" ht="15">
      <c r="A43" s="472"/>
      <c r="B43" s="422" t="s">
        <v>2569</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0"/>
      <c r="M43" s="1131"/>
      <c r="N43" s="1131"/>
      <c r="O43" s="1131"/>
      <c r="P43" s="3427"/>
      <c r="Q43" s="1810" t="str">
        <f t="shared" si="11"/>
        <v>内部装修维护情况</v>
      </c>
      <c r="R43" s="774" t="s">
        <v>17</v>
      </c>
      <c r="S43" s="775">
        <f t="shared" si="12"/>
        <v>100</v>
      </c>
      <c r="T43" s="774" t="s">
        <v>17</v>
      </c>
      <c r="U43" s="775">
        <f t="shared" si="13"/>
        <v>100</v>
      </c>
      <c r="V43" s="774" t="s">
        <v>17</v>
      </c>
      <c r="W43" s="775">
        <f t="shared" si="14"/>
        <v>100</v>
      </c>
      <c r="X43" s="1813"/>
      <c r="Y43" s="3354"/>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427"/>
      <c r="Q44" s="1795">
        <f t="shared" si="11"/>
        <v>111</v>
      </c>
      <c r="R44" s="770" t="s">
        <v>17</v>
      </c>
      <c r="S44" s="771">
        <f t="shared" si="12"/>
        <v>100</v>
      </c>
      <c r="T44" s="770" t="s">
        <v>17</v>
      </c>
      <c r="U44" s="771">
        <f t="shared" si="13"/>
        <v>100</v>
      </c>
      <c r="V44" s="770" t="s">
        <v>17</v>
      </c>
      <c r="W44" s="771">
        <f t="shared" si="14"/>
        <v>100</v>
      </c>
      <c r="X44" s="772"/>
      <c r="Y44" s="3354"/>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427"/>
      <c r="Q45" s="1810">
        <f t="shared" si="11"/>
        <v>111</v>
      </c>
      <c r="R45" s="774" t="s">
        <v>17</v>
      </c>
      <c r="S45" s="775">
        <f t="shared" si="12"/>
        <v>100</v>
      </c>
      <c r="T45" s="774" t="s">
        <v>17</v>
      </c>
      <c r="U45" s="775">
        <f t="shared" si="13"/>
        <v>100</v>
      </c>
      <c r="V45" s="774" t="s">
        <v>17</v>
      </c>
      <c r="W45" s="775">
        <f t="shared" si="14"/>
        <v>100</v>
      </c>
      <c r="X45" s="1813"/>
      <c r="Y45" s="3354"/>
      <c r="Z45" s="1814">
        <f t="shared" si="15"/>
        <v>111</v>
      </c>
      <c r="AA45" s="1811">
        <f t="shared" si="3"/>
        <v>1</v>
      </c>
      <c r="AB45" s="1811">
        <f t="shared" si="4"/>
        <v>1</v>
      </c>
      <c r="AC45" s="1811">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428"/>
      <c r="Q46" s="1810">
        <f t="shared" si="11"/>
        <v>111</v>
      </c>
      <c r="R46" s="774" t="s">
        <v>17</v>
      </c>
      <c r="S46" s="775">
        <f t="shared" si="12"/>
        <v>100</v>
      </c>
      <c r="T46" s="774" t="s">
        <v>17</v>
      </c>
      <c r="U46" s="775">
        <f t="shared" si="13"/>
        <v>100</v>
      </c>
      <c r="V46" s="774" t="s">
        <v>17</v>
      </c>
      <c r="W46" s="775">
        <f t="shared" si="14"/>
        <v>100</v>
      </c>
      <c r="X46" s="1813"/>
      <c r="Y46" s="3429"/>
      <c r="Z46" s="1814">
        <f t="shared" si="15"/>
        <v>111</v>
      </c>
      <c r="AA46" s="1811">
        <f t="shared" si="3"/>
        <v>1</v>
      </c>
      <c r="AB46" s="1811">
        <f t="shared" si="4"/>
        <v>1</v>
      </c>
      <c r="AC46" s="1811">
        <f t="shared" si="5"/>
        <v>1</v>
      </c>
    </row>
    <row r="47" spans="1:29" ht="15">
      <c r="A47" s="479" t="s">
        <v>2570</v>
      </c>
      <c r="B47" s="480"/>
      <c r="C47" s="1407" t="s">
        <v>1</v>
      </c>
      <c r="D47" s="1408"/>
      <c r="E47" s="1409"/>
      <c r="F47" s="1410"/>
      <c r="G47" s="1411"/>
      <c r="H47" s="1412"/>
      <c r="I47" s="1409"/>
      <c r="J47" s="1412"/>
      <c r="K47" s="783"/>
      <c r="L47" s="1143"/>
      <c r="M47" s="1144"/>
      <c r="N47" s="1131"/>
      <c r="O47" s="1144"/>
      <c r="P47" s="3348" t="str">
        <f>A47</f>
        <v>成交单价（元/平方米）</v>
      </c>
      <c r="Q47" s="3348"/>
      <c r="R47" s="3350">
        <f>E47</f>
        <v>0</v>
      </c>
      <c r="S47" s="3350"/>
      <c r="T47" s="3350">
        <f>G47</f>
        <v>0</v>
      </c>
      <c r="U47" s="3350"/>
      <c r="V47" s="3350">
        <f>I47</f>
        <v>0</v>
      </c>
      <c r="W47" s="3350"/>
      <c r="X47" s="759"/>
      <c r="Y47" s="781"/>
      <c r="Z47" s="759"/>
      <c r="AA47" s="759"/>
      <c r="AB47" s="759"/>
      <c r="AC47" s="759"/>
    </row>
    <row r="48" spans="1:29" ht="15.75" thickBot="1">
      <c r="A48" s="486" t="s">
        <v>2662</v>
      </c>
      <c r="B48" s="487"/>
      <c r="C48" s="1413" t="e">
        <f>R49</f>
        <v>#DIV/0!</v>
      </c>
      <c r="D48" s="1414"/>
      <c r="E48" s="1415" t="e">
        <f>R48</f>
        <v>#DIV/0!</v>
      </c>
      <c r="F48" s="1415"/>
      <c r="G48" s="1413" t="e">
        <f>T48</f>
        <v>#DIV/0!</v>
      </c>
      <c r="H48" s="1414"/>
      <c r="I48" s="1415" t="e">
        <f>V48</f>
        <v>#DIV/0!</v>
      </c>
      <c r="J48" s="1414"/>
      <c r="K48" s="784"/>
      <c r="L48" s="1143"/>
      <c r="M48" s="1144"/>
      <c r="N48" s="1131"/>
      <c r="O48" s="1144"/>
      <c r="P48" s="3348" t="str">
        <f>A48</f>
        <v>比较价值（元/平方米）</v>
      </c>
      <c r="Q48" s="3348"/>
      <c r="R48" s="3425" t="e">
        <f>IF(F1="售价",ROUND(PRODUCT(R47,AA7:AA46),0),ROUND(PRODUCT(R47,AA7:AA46),1))</f>
        <v>#DIV/0!</v>
      </c>
      <c r="S48" s="3425"/>
      <c r="T48" s="3425" t="e">
        <f>IF(F1="售价",ROUND(PRODUCT(T47,AB7:AB46),0),ROUND(PRODUCT(T47,AB7:AB46),1))</f>
        <v>#DIV/0!</v>
      </c>
      <c r="U48" s="3425"/>
      <c r="V48" s="3425" t="e">
        <f>IF(F1="售价",ROUND(PRODUCT(V47,AC7:AC46),0),ROUND(PRODUCT(V47,AC7:AC46),1))</f>
        <v>#DIV/0!</v>
      </c>
      <c r="W48" s="3425"/>
      <c r="X48" s="759"/>
      <c r="Y48" s="759"/>
      <c r="Z48" s="759"/>
      <c r="AA48" s="759"/>
      <c r="AB48" s="759"/>
      <c r="AC48" s="759"/>
    </row>
    <row r="49" spans="1:29" ht="15.75" thickBot="1">
      <c r="A49" s="492" t="s">
        <v>2663</v>
      </c>
      <c r="B49" s="493"/>
      <c r="C49" s="1417" t="e">
        <f>R49</f>
        <v>#DIV/0!</v>
      </c>
      <c r="D49" s="1417"/>
      <c r="E49" s="1417"/>
      <c r="F49" s="1417"/>
      <c r="G49" s="1417"/>
      <c r="H49" s="1417"/>
      <c r="I49" s="1417"/>
      <c r="J49" s="1417"/>
      <c r="K49" s="785"/>
      <c r="L49" s="1143"/>
      <c r="M49" s="1144"/>
      <c r="N49" s="1131"/>
      <c r="O49" s="1144"/>
      <c r="P49" s="3345" t="str">
        <f>A49</f>
        <v>估价对象XX用房的比较价值（楼面单价，元/平方米）</v>
      </c>
      <c r="Q49" s="3346"/>
      <c r="R49" s="3424" t="e">
        <f>IF(F1="售价",ROUND(AVERAGE(R48:V48),0),ROUND(AVERAGE(R48:V48),1))</f>
        <v>#DIV/0!</v>
      </c>
      <c r="S49" s="3424"/>
      <c r="T49" s="3424"/>
      <c r="U49" s="3424"/>
      <c r="V49" s="3424"/>
      <c r="W49" s="342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5"/>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5"/>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2667</v>
      </c>
      <c r="B57" s="759"/>
      <c r="C57" s="764"/>
      <c r="D57" s="764"/>
      <c r="E57" s="764"/>
      <c r="F57" s="765"/>
      <c r="G57" s="765"/>
      <c r="H57" s="764"/>
      <c r="I57" s="764"/>
      <c r="J57" s="764"/>
      <c r="K57" s="766"/>
      <c r="L57" s="1161"/>
      <c r="M57" s="1159"/>
      <c r="N57" s="1159"/>
      <c r="O57" s="1159"/>
      <c r="P57" s="2666"/>
      <c r="Q57" s="2667"/>
      <c r="R57" s="759"/>
      <c r="S57" s="759"/>
      <c r="T57" s="759"/>
      <c r="U57" s="759"/>
      <c r="V57" s="759"/>
      <c r="W57" s="759"/>
      <c r="X57" s="759"/>
      <c r="Y57" s="759"/>
      <c r="Z57" s="759"/>
      <c r="AA57" s="759"/>
      <c r="AB57" s="759"/>
      <c r="AC57" s="759"/>
    </row>
    <row r="58" spans="1:29" s="508" customFormat="1" ht="15">
      <c r="A58" s="505" t="s">
        <v>2541</v>
      </c>
      <c r="B58" s="506"/>
      <c r="C58" s="1574" t="str">
        <f>YEAR(C7)&amp;"-"&amp;MONTH(C7)</f>
        <v>2019-3</v>
      </c>
      <c r="D58" s="1575">
        <f>EDATE(C58,-1)</f>
        <v>43497</v>
      </c>
      <c r="E58" s="1575">
        <f t="shared" ref="E58:N58" si="16">EDATE(D58,-1)</f>
        <v>43466</v>
      </c>
      <c r="F58" s="1575">
        <f t="shared" si="16"/>
        <v>43435</v>
      </c>
      <c r="G58" s="1575">
        <f t="shared" si="16"/>
        <v>43405</v>
      </c>
      <c r="H58" s="1575">
        <f t="shared" si="16"/>
        <v>43374</v>
      </c>
      <c r="I58" s="1575">
        <f t="shared" si="16"/>
        <v>43344</v>
      </c>
      <c r="J58" s="1575">
        <f t="shared" si="16"/>
        <v>43313</v>
      </c>
      <c r="K58" s="1575">
        <f t="shared" si="16"/>
        <v>43282</v>
      </c>
      <c r="L58" s="1575">
        <f t="shared" si="16"/>
        <v>43252</v>
      </c>
      <c r="M58" s="1575">
        <f t="shared" si="16"/>
        <v>43221</v>
      </c>
      <c r="N58" s="1575">
        <f t="shared" si="16"/>
        <v>43191</v>
      </c>
      <c r="O58" s="1575">
        <f>EDATE(N58,-1)</f>
        <v>43160</v>
      </c>
      <c r="P58" s="1570"/>
    </row>
    <row r="59" spans="1:29" s="117" customFormat="1" ht="15">
      <c r="A59" s="509"/>
      <c r="B59" s="510"/>
      <c r="C59" s="1573">
        <v>100</v>
      </c>
      <c r="D59" s="512"/>
      <c r="E59" s="512"/>
      <c r="F59" s="512"/>
      <c r="G59" s="512"/>
      <c r="H59" s="512"/>
      <c r="I59" s="512"/>
      <c r="J59" s="512"/>
      <c r="K59" s="512"/>
      <c r="L59" s="512"/>
      <c r="M59" s="513"/>
      <c r="N59" s="512"/>
      <c r="O59" s="513"/>
      <c r="P59" s="2627"/>
    </row>
    <row r="60" spans="1:29" s="117" customFormat="1" ht="15.75" thickBot="1">
      <c r="A60" s="515" t="s">
        <v>2578</v>
      </c>
      <c r="B60" s="516"/>
      <c r="C60" s="517"/>
      <c r="D60" s="518"/>
      <c r="E60" s="518"/>
      <c r="F60" s="518"/>
      <c r="G60" s="518"/>
      <c r="H60" s="518"/>
      <c r="I60" s="518"/>
      <c r="J60" s="518"/>
      <c r="K60" s="518"/>
      <c r="L60" s="518"/>
      <c r="M60" s="519"/>
      <c r="N60" s="518"/>
      <c r="O60" s="519"/>
      <c r="P60" s="2627"/>
      <c r="Q60" s="504"/>
    </row>
    <row r="61" spans="1:29" s="117" customFormat="1" ht="15">
      <c r="A61" s="521" t="s">
        <v>2543</v>
      </c>
      <c r="B61" s="510"/>
      <c r="C61" s="522" t="s">
        <v>2645</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2581</v>
      </c>
      <c r="B63" s="528" t="s">
        <v>2547</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2550</v>
      </c>
      <c r="C65" s="539" t="s">
        <v>2582</v>
      </c>
      <c r="D65" s="539" t="s">
        <v>2583</v>
      </c>
      <c r="E65" s="539" t="s">
        <v>2584</v>
      </c>
      <c r="F65" s="539" t="s">
        <v>2585</v>
      </c>
      <c r="G65" s="539" t="s">
        <v>2586</v>
      </c>
      <c r="H65" s="539" t="s">
        <v>2587</v>
      </c>
      <c r="I65" s="539" t="s">
        <v>2588</v>
      </c>
      <c r="J65" s="539"/>
      <c r="K65" s="540"/>
      <c r="L65" s="541"/>
      <c r="M65" s="542"/>
      <c r="N65" s="1152"/>
      <c r="O65" s="1152"/>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9"/>
      <c r="Q66" s="504"/>
    </row>
    <row r="67" spans="1:17" ht="15.75" thickTop="1">
      <c r="A67" s="534"/>
      <c r="B67" s="546" t="s">
        <v>2551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36"/>
      <c r="E73" s="536"/>
      <c r="F73" s="536"/>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2552</v>
      </c>
      <c r="B76" s="528" t="s">
        <v>2589</v>
      </c>
      <c r="C76" s="573" t="s">
        <v>2590</v>
      </c>
      <c r="D76" s="573" t="s">
        <v>2591</v>
      </c>
      <c r="E76" s="573" t="s">
        <v>2592</v>
      </c>
      <c r="F76" s="573" t="s">
        <v>2593</v>
      </c>
      <c r="G76" s="573" t="s">
        <v>2594</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2595</v>
      </c>
      <c r="C78" s="578" t="s">
        <v>2590</v>
      </c>
      <c r="D78" s="578" t="s">
        <v>2591</v>
      </c>
      <c r="E78" s="578" t="s">
        <v>2592</v>
      </c>
      <c r="F78" s="578" t="s">
        <v>2593</v>
      </c>
      <c r="G78" s="578" t="s">
        <v>2594</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2596</v>
      </c>
      <c r="C80" s="578" t="s">
        <v>2590</v>
      </c>
      <c r="D80" s="578" t="s">
        <v>2591</v>
      </c>
      <c r="E80" s="578" t="s">
        <v>2592</v>
      </c>
      <c r="F80" s="578" t="s">
        <v>2593</v>
      </c>
      <c r="G80" s="578" t="s">
        <v>2594</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2648</v>
      </c>
      <c r="C82" s="660" t="s">
        <v>2668</v>
      </c>
      <c r="D82" s="660" t="s">
        <v>2669</v>
      </c>
      <c r="E82" s="660" t="s">
        <v>2670</v>
      </c>
      <c r="F82" s="660" t="s">
        <v>2671</v>
      </c>
      <c r="G82" s="660" t="s">
        <v>2672</v>
      </c>
      <c r="H82" s="539"/>
      <c r="I82" s="539"/>
      <c r="J82" s="539"/>
      <c r="K82" s="539"/>
      <c r="L82" s="539"/>
      <c r="M82" s="1382"/>
      <c r="N82" s="1153"/>
      <c r="O82" s="1153"/>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9"/>
      <c r="Q83" s="504"/>
    </row>
    <row r="84" spans="1:17" ht="15.75" thickTop="1">
      <c r="A84" s="534"/>
      <c r="B84" s="538" t="s">
        <v>2602</v>
      </c>
      <c r="C84" s="578" t="s">
        <v>2590</v>
      </c>
      <c r="D84" s="578" t="s">
        <v>2591</v>
      </c>
      <c r="E84" s="578" t="s">
        <v>2592</v>
      </c>
      <c r="F84" s="578" t="s">
        <v>2593</v>
      </c>
      <c r="G84" s="578" t="s">
        <v>2594</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2673</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51"/>
      <c r="O88" s="1151"/>
      <c r="P88" s="2629"/>
      <c r="Q88" s="504"/>
    </row>
    <row r="89" spans="1:17" s="117" customFormat="1" ht="15.75" thickBot="1">
      <c r="A89" s="579"/>
      <c r="B89" s="543"/>
      <c r="C89" s="560"/>
      <c r="D89" s="536"/>
      <c r="E89" s="536"/>
      <c r="F89" s="536"/>
      <c r="G89" s="536"/>
      <c r="H89" s="536"/>
      <c r="I89" s="536"/>
      <c r="J89" s="536"/>
      <c r="K89" s="536"/>
      <c r="L89" s="536"/>
      <c r="M89" s="536"/>
      <c r="N89" s="1153"/>
      <c r="O89" s="1153"/>
      <c r="P89" s="2629"/>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0"/>
      <c r="Q91" s="559"/>
    </row>
    <row r="92" spans="1:17" ht="15.75" thickTop="1">
      <c r="A92" s="534"/>
      <c r="B92" s="538" t="str">
        <f>B28</f>
        <v>楼层</v>
      </c>
      <c r="C92" s="554"/>
      <c r="D92" s="554"/>
      <c r="E92" s="554"/>
      <c r="F92" s="554"/>
      <c r="G92" s="554"/>
      <c r="H92" s="554"/>
      <c r="I92" s="554"/>
      <c r="J92" s="554"/>
      <c r="K92" s="554"/>
      <c r="L92" s="580"/>
      <c r="M92" s="581"/>
      <c r="N92" s="1152"/>
      <c r="O92" s="1152"/>
      <c r="P92" s="2629"/>
      <c r="Q92" s="504"/>
    </row>
    <row r="93" spans="1:17" ht="15.75" thickBot="1">
      <c r="A93" s="534"/>
      <c r="B93" s="543"/>
      <c r="C93" s="536"/>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36"/>
      <c r="E95" s="536"/>
      <c r="F95" s="536"/>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60"/>
      <c r="D97" s="536"/>
      <c r="E97" s="536"/>
      <c r="F97" s="536"/>
      <c r="G97" s="536"/>
      <c r="H97" s="536"/>
      <c r="I97" s="536"/>
      <c r="J97" s="536"/>
      <c r="K97" s="536"/>
      <c r="L97" s="536"/>
      <c r="M97" s="537"/>
      <c r="N97" s="1153"/>
      <c r="O97" s="1153"/>
      <c r="P97" s="2629"/>
      <c r="Q97" s="504"/>
    </row>
    <row r="98" spans="1:17" ht="15.75" thickTop="1">
      <c r="A98" s="534"/>
      <c r="B98" s="546">
        <f>B31</f>
        <v>111</v>
      </c>
      <c r="C98" s="554"/>
      <c r="D98" s="554"/>
      <c r="E98" s="554"/>
      <c r="F98" s="554"/>
      <c r="G98" s="587"/>
      <c r="H98" s="587"/>
      <c r="I98" s="587"/>
      <c r="J98" s="587"/>
      <c r="K98" s="588"/>
      <c r="L98" s="589"/>
      <c r="M98" s="590"/>
      <c r="N98" s="1152"/>
      <c r="O98" s="1152"/>
      <c r="P98" s="2629"/>
      <c r="Q98" s="504"/>
    </row>
    <row r="99" spans="1:17" ht="15.75" thickBot="1">
      <c r="A99" s="2635"/>
      <c r="B99" s="569"/>
      <c r="C99" s="570"/>
      <c r="D99" s="570"/>
      <c r="E99" s="570"/>
      <c r="F99" s="570"/>
      <c r="G99" s="591"/>
      <c r="H99" s="591"/>
      <c r="I99" s="591"/>
      <c r="J99" s="591"/>
      <c r="K99" s="591"/>
      <c r="L99" s="591"/>
      <c r="M99" s="592"/>
      <c r="N99" s="1153"/>
      <c r="O99" s="1153"/>
      <c r="P99" s="2629"/>
      <c r="Q99" s="504"/>
    </row>
    <row r="100" spans="1:17">
      <c r="A100" s="527" t="s">
        <v>2556</v>
      </c>
      <c r="B100" s="528" t="s">
        <v>2674</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9"/>
      <c r="Q101" s="504"/>
    </row>
    <row r="102" spans="1:17" ht="15.75" thickTop="1">
      <c r="A102" s="534"/>
      <c r="B102" s="538" t="s">
        <v>2606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0"/>
      <c r="Q104" s="559"/>
    </row>
    <row r="105" spans="1:17" ht="15" thickTop="1">
      <c r="A105" s="599"/>
      <c r="B105" s="538" t="s">
        <v>2607</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9"/>
      <c r="Q106" s="504"/>
    </row>
    <row r="107" spans="1:17" ht="15" thickTop="1">
      <c r="A107" s="599"/>
      <c r="B107" s="538" t="s">
        <v>2609</v>
      </c>
      <c r="C107" s="554"/>
      <c r="D107" s="554"/>
      <c r="E107" s="554"/>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9"/>
      <c r="Q108" s="504"/>
    </row>
    <row r="109" spans="1:17" ht="15" thickTop="1">
      <c r="A109" s="599"/>
      <c r="B109" s="538" t="s">
        <v>1989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9"/>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9"/>
      <c r="Q111" s="504"/>
    </row>
    <row r="112" spans="1:17" s="471" customFormat="1" ht="15" thickTop="1">
      <c r="A112" s="593"/>
      <c r="B112" s="538" t="s">
        <v>2611</v>
      </c>
      <c r="C112" s="554"/>
      <c r="D112" s="554"/>
      <c r="E112" s="554"/>
      <c r="F112" s="554"/>
      <c r="G112" s="554"/>
      <c r="H112" s="583"/>
      <c r="I112" s="583"/>
      <c r="J112" s="583"/>
      <c r="K112" s="584"/>
      <c r="L112" s="585"/>
      <c r="M112" s="586"/>
      <c r="N112" s="1154"/>
      <c r="O112" s="1154"/>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0"/>
      <c r="Q113" s="559"/>
    </row>
    <row r="114" spans="1:17" ht="15" thickTop="1">
      <c r="A114" s="599"/>
      <c r="B114" s="538" t="s">
        <v>2675</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9"/>
      <c r="Q115" s="504"/>
    </row>
    <row r="116" spans="1:17" ht="15" thickTop="1">
      <c r="A116" s="599"/>
      <c r="B116" s="538" t="s">
        <v>2676</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2677</v>
      </c>
      <c r="C118" s="627"/>
      <c r="D118" s="627"/>
      <c r="E118" s="627"/>
      <c r="F118" s="627"/>
      <c r="G118" s="627"/>
      <c r="H118" s="555"/>
      <c r="I118" s="555"/>
      <c r="J118" s="555"/>
      <c r="K118" s="555"/>
      <c r="L118" s="556"/>
      <c r="M118" s="557"/>
      <c r="N118" s="1152"/>
      <c r="O118" s="1152"/>
      <c r="P118" s="2629"/>
      <c r="Q118" s="504"/>
    </row>
    <row r="119" spans="1:17" ht="15.75" thickBot="1">
      <c r="A119" s="534"/>
      <c r="B119" s="543"/>
      <c r="C119" s="560"/>
      <c r="D119" s="536"/>
      <c r="E119" s="536"/>
      <c r="F119" s="536"/>
      <c r="G119" s="536"/>
      <c r="H119" s="536"/>
      <c r="I119" s="536"/>
      <c r="J119" s="536"/>
      <c r="K119" s="536"/>
      <c r="L119" s="536"/>
      <c r="M119" s="537"/>
      <c r="N119" s="1153"/>
      <c r="O119" s="1153"/>
      <c r="P119" s="2629"/>
      <c r="Q119" s="504"/>
    </row>
    <row r="120" spans="1:17" s="471" customFormat="1" ht="15" thickTop="1">
      <c r="A120" s="593"/>
      <c r="B120" s="538" t="s">
        <v>2678</v>
      </c>
      <c r="C120" s="583"/>
      <c r="D120" s="583"/>
      <c r="E120" s="583"/>
      <c r="F120" s="583"/>
      <c r="G120" s="555"/>
      <c r="H120" s="555"/>
      <c r="I120" s="555"/>
      <c r="J120" s="555"/>
      <c r="K120" s="555"/>
      <c r="L120" s="556"/>
      <c r="M120" s="557"/>
      <c r="N120" s="1154"/>
      <c r="O120" s="1154"/>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0"/>
      <c r="Q121" s="559"/>
    </row>
    <row r="122" spans="1:17" ht="15" thickTop="1">
      <c r="A122" s="599"/>
      <c r="B122" s="538" t="s">
        <v>2613</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9"/>
      <c r="Q123" s="504"/>
    </row>
    <row r="124" spans="1:17" ht="15" thickTop="1">
      <c r="A124" s="599"/>
      <c r="B124" s="538" t="s">
        <v>2614</v>
      </c>
      <c r="C124" s="578" t="s">
        <v>2590</v>
      </c>
      <c r="D124" s="578" t="s">
        <v>2591</v>
      </c>
      <c r="E124" s="578" t="s">
        <v>2592</v>
      </c>
      <c r="F124" s="578" t="s">
        <v>2593</v>
      </c>
      <c r="G124" s="578" t="s">
        <v>2594</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36"/>
      <c r="E129" s="536"/>
      <c r="F129" s="536"/>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2521</v>
      </c>
      <c r="B1" s="2668" t="s">
        <v>2679</v>
      </c>
      <c r="C1" s="1620" t="s">
        <v>2523</v>
      </c>
      <c r="D1" s="1621"/>
      <c r="E1" s="1630"/>
      <c r="F1" s="2583"/>
      <c r="G1" s="1631" t="s">
        <v>2636</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2320</v>
      </c>
      <c r="B2" s="1418" t="e">
        <f ca="1">IF(C2="——",ROUND(C50*D3/10000,0),ROUND(C50*D3/10000,0)-D2)</f>
        <v>#DIV/0!</v>
      </c>
      <c r="C2" s="2585"/>
      <c r="D2" s="1365" t="e">
        <f ca="1">SUMIF(INDIRECT("'"&amp;F2&amp;"'"&amp;"!A:A"),"承租人权益价值",INDIRECT("'"&amp;F2&amp;"'"&amp;"!c:c"))</f>
        <v>#REF!</v>
      </c>
      <c r="E2" s="2586" t="s">
        <v>2321</v>
      </c>
      <c r="F2" s="2587"/>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2322</v>
      </c>
      <c r="B3" s="609" t="e">
        <f ca="1">IF(C2="——",C50,ROUND(B2*10000/D3,0))</f>
        <v>#DIV/0!</v>
      </c>
      <c r="C3" s="400" t="s">
        <v>2637</v>
      </c>
      <c r="D3" s="399">
        <f>IF(D1="",'数据-汇总表'!E3,SUMIF('数据-汇总表'!$C19:$C33,D1,'数据-汇总表'!$E19:$E33))</f>
        <v>193040.62000000002</v>
      </c>
      <c r="E3" s="2662"/>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2638</v>
      </c>
      <c r="B4" s="402"/>
      <c r="C4" s="3358" t="s">
        <v>2639</v>
      </c>
      <c r="D4" s="3359"/>
      <c r="E4" s="3360" t="s">
        <v>2640</v>
      </c>
      <c r="F4" s="3361"/>
      <c r="G4" s="3358" t="s">
        <v>2641</v>
      </c>
      <c r="H4" s="3359"/>
      <c r="I4" s="3358" t="s">
        <v>2642</v>
      </c>
      <c r="J4" s="3359"/>
      <c r="K4" s="610" t="s">
        <v>2643</v>
      </c>
      <c r="L4" s="1130"/>
      <c r="M4" s="1131"/>
      <c r="N4" s="1131"/>
      <c r="O4" s="1131"/>
      <c r="P4" s="3438" t="s">
        <v>2644</v>
      </c>
      <c r="Q4" s="3439"/>
      <c r="R4" s="3433" t="s">
        <v>2640</v>
      </c>
      <c r="S4" s="3434"/>
      <c r="T4" s="3433" t="s">
        <v>2641</v>
      </c>
      <c r="U4" s="3434"/>
      <c r="V4" s="3442" t="s">
        <v>2642</v>
      </c>
      <c r="W4" s="3442"/>
      <c r="X4" s="2669"/>
      <c r="Y4" s="3433" t="s">
        <v>2644</v>
      </c>
      <c r="Z4" s="3434"/>
      <c r="AA4" s="3432" t="s">
        <v>2640</v>
      </c>
      <c r="AB4" s="3432" t="s">
        <v>2641</v>
      </c>
      <c r="AC4" s="3435" t="s">
        <v>2642</v>
      </c>
    </row>
    <row r="5" spans="1:29" ht="15">
      <c r="A5" s="404"/>
      <c r="B5" s="405"/>
      <c r="C5" s="3379" t="s">
        <v>2535</v>
      </c>
      <c r="D5" s="3380"/>
      <c r="E5" s="3368" t="s">
        <v>2536</v>
      </c>
      <c r="F5" s="3369"/>
      <c r="G5" s="3379" t="s">
        <v>2537</v>
      </c>
      <c r="H5" s="3380"/>
      <c r="I5" s="3379" t="s">
        <v>2538</v>
      </c>
      <c r="J5" s="3380"/>
      <c r="K5" s="610"/>
      <c r="L5" s="1130"/>
      <c r="M5" s="1131"/>
      <c r="N5" s="1131"/>
      <c r="O5" s="1131"/>
      <c r="P5" s="3440"/>
      <c r="Q5" s="3365"/>
      <c r="R5" s="3377"/>
      <c r="S5" s="3378"/>
      <c r="T5" s="3377"/>
      <c r="U5" s="3378"/>
      <c r="V5" s="3350"/>
      <c r="W5" s="3350"/>
      <c r="X5" s="1813"/>
      <c r="Y5" s="3377"/>
      <c r="Z5" s="3378"/>
      <c r="AA5" s="3356"/>
      <c r="AB5" s="3356"/>
      <c r="AC5" s="3436"/>
    </row>
    <row r="6" spans="1:29" ht="15.75" thickBot="1">
      <c r="A6" s="406"/>
      <c r="B6" s="407"/>
      <c r="C6" s="3420" t="s">
        <v>2539</v>
      </c>
      <c r="D6" s="3421"/>
      <c r="E6" s="3422" t="s">
        <v>2539</v>
      </c>
      <c r="F6" s="3423"/>
      <c r="G6" s="3420" t="s">
        <v>2539</v>
      </c>
      <c r="H6" s="3421"/>
      <c r="I6" s="3420" t="s">
        <v>2539</v>
      </c>
      <c r="J6" s="3421"/>
      <c r="K6" s="610" t="s">
        <v>2540</v>
      </c>
      <c r="L6" s="1130"/>
      <c r="M6" s="1131"/>
      <c r="N6" s="1131"/>
      <c r="O6" s="1131"/>
      <c r="P6" s="3441"/>
      <c r="Q6" s="3367"/>
      <c r="R6" s="3377"/>
      <c r="S6" s="3378"/>
      <c r="T6" s="3386"/>
      <c r="U6" s="3387"/>
      <c r="V6" s="3350"/>
      <c r="W6" s="3350"/>
      <c r="X6" s="1813"/>
      <c r="Y6" s="3386"/>
      <c r="Z6" s="3387"/>
      <c r="AA6" s="3357"/>
      <c r="AB6" s="3357"/>
      <c r="AC6" s="3437"/>
    </row>
    <row r="7" spans="1:29" s="117" customFormat="1" ht="15.75" thickBot="1">
      <c r="A7" s="408" t="s">
        <v>2541</v>
      </c>
      <c r="B7" s="409"/>
      <c r="C7" s="410">
        <f>'数据-取费表'!B2</f>
        <v>43544</v>
      </c>
      <c r="D7" s="411">
        <v>100</v>
      </c>
      <c r="E7" s="412"/>
      <c r="F7" s="413">
        <f>SUMIF(59:59,YEAR(E7)&amp;"-"&amp;MONTH(E7),60:60)</f>
        <v>0</v>
      </c>
      <c r="G7" s="412"/>
      <c r="H7" s="411">
        <f>SUMIF(59:59,YEAR(G7)&amp;"-"&amp;MONTH(G7),60:60)</f>
        <v>0</v>
      </c>
      <c r="I7" s="412"/>
      <c r="J7" s="411">
        <f>SUMIF(59:59,YEAR(I7)&amp;"-"&amp;MONTH(I7),60:60)</f>
        <v>0</v>
      </c>
      <c r="K7" s="611"/>
      <c r="L7" s="1132"/>
      <c r="M7" s="1133"/>
      <c r="N7" s="1133"/>
      <c r="O7" s="1133"/>
      <c r="P7" s="3443" t="s">
        <v>2542</v>
      </c>
      <c r="Q7" s="3383"/>
      <c r="R7" s="770" t="s">
        <v>17</v>
      </c>
      <c r="S7" s="771">
        <f t="shared" ref="S7:S15" si="0">F7</f>
        <v>0</v>
      </c>
      <c r="T7" s="770" t="s">
        <v>17</v>
      </c>
      <c r="U7" s="771">
        <f t="shared" ref="U7:U15" si="1">H7</f>
        <v>0</v>
      </c>
      <c r="V7" s="770" t="s">
        <v>17</v>
      </c>
      <c r="W7" s="771">
        <f t="shared" ref="W7:W15" si="2">J7</f>
        <v>0</v>
      </c>
      <c r="X7" s="772"/>
      <c r="Y7" s="3370" t="s">
        <v>2542</v>
      </c>
      <c r="Z7" s="3371"/>
      <c r="AA7" s="773" t="e">
        <f>D7/F7</f>
        <v>#DIV/0!</v>
      </c>
      <c r="AB7" s="773" t="e">
        <f>D7/H7</f>
        <v>#DIV/0!</v>
      </c>
      <c r="AC7" s="2670" t="e">
        <f>D7/J7</f>
        <v>#DIV/0!</v>
      </c>
    </row>
    <row r="8" spans="1:29" s="117" customFormat="1" ht="15.75" thickBot="1">
      <c r="A8" s="408" t="s">
        <v>2543</v>
      </c>
      <c r="B8" s="409"/>
      <c r="C8" s="414" t="s">
        <v>2645</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443" t="s">
        <v>2545</v>
      </c>
      <c r="Q8" s="3371"/>
      <c r="R8" s="770" t="s">
        <v>17</v>
      </c>
      <c r="S8" s="771">
        <f t="shared" si="0"/>
        <v>0</v>
      </c>
      <c r="T8" s="770" t="s">
        <v>17</v>
      </c>
      <c r="U8" s="771">
        <f t="shared" si="1"/>
        <v>0</v>
      </c>
      <c r="V8" s="770" t="s">
        <v>17</v>
      </c>
      <c r="W8" s="771">
        <f t="shared" si="2"/>
        <v>0</v>
      </c>
      <c r="X8" s="772"/>
      <c r="Y8" s="3370" t="s">
        <v>2545</v>
      </c>
      <c r="Z8" s="3371"/>
      <c r="AA8" s="773" t="e">
        <f t="shared" ref="AA8:AA47" si="3">D8/F8</f>
        <v>#DIV/0!</v>
      </c>
      <c r="AB8" s="773" t="e">
        <f t="shared" ref="AB8:AB47" si="4">D8/H8</f>
        <v>#DIV/0!</v>
      </c>
      <c r="AC8" s="2670" t="e">
        <f t="shared" ref="AC8:AC47" si="5">D8/J8</f>
        <v>#DIV/0!</v>
      </c>
    </row>
    <row r="9" spans="1:29" s="117" customFormat="1">
      <c r="A9" s="415" t="s">
        <v>2546</v>
      </c>
      <c r="B9" s="71" t="s">
        <v>2547</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373" t="s">
        <v>2548</v>
      </c>
      <c r="Q9" s="1795" t="str">
        <f t="shared" ref="Q9:Q15" si="6">B9</f>
        <v>用途</v>
      </c>
      <c r="R9" s="770" t="s">
        <v>17</v>
      </c>
      <c r="S9" s="771">
        <f t="shared" si="0"/>
        <v>100</v>
      </c>
      <c r="T9" s="770" t="s">
        <v>17</v>
      </c>
      <c r="U9" s="771">
        <f t="shared" si="1"/>
        <v>100</v>
      </c>
      <c r="V9" s="770" t="s">
        <v>17</v>
      </c>
      <c r="W9" s="771">
        <f t="shared" si="2"/>
        <v>100</v>
      </c>
      <c r="X9" s="772"/>
      <c r="Y9" s="3204" t="s">
        <v>2549</v>
      </c>
      <c r="Z9" s="55" t="str">
        <f t="shared" ref="Z9:Z15" si="7">Q9</f>
        <v>用途</v>
      </c>
      <c r="AA9" s="773">
        <f t="shared" si="3"/>
        <v>1</v>
      </c>
      <c r="AB9" s="773">
        <f t="shared" si="4"/>
        <v>1</v>
      </c>
      <c r="AC9" s="2670">
        <f t="shared" si="5"/>
        <v>1</v>
      </c>
    </row>
    <row r="10" spans="1:29" s="427" customFormat="1" ht="27">
      <c r="A10" s="421"/>
      <c r="B10" s="422" t="s">
        <v>2550</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373"/>
      <c r="Q10" s="1795" t="str">
        <f t="shared" si="6"/>
        <v>土地使用年限（年）</v>
      </c>
      <c r="R10" s="770" t="s">
        <v>17</v>
      </c>
      <c r="S10" s="771">
        <f t="shared" si="0"/>
        <v>100</v>
      </c>
      <c r="T10" s="770" t="s">
        <v>17</v>
      </c>
      <c r="U10" s="771">
        <f t="shared" si="1"/>
        <v>100</v>
      </c>
      <c r="V10" s="770" t="s">
        <v>17</v>
      </c>
      <c r="W10" s="771">
        <f t="shared" si="2"/>
        <v>100</v>
      </c>
      <c r="X10" s="772"/>
      <c r="Y10" s="3204"/>
      <c r="Z10" s="55" t="str">
        <f t="shared" si="7"/>
        <v>土地使用年限（年）</v>
      </c>
      <c r="AA10" s="773">
        <f t="shared" si="3"/>
        <v>1</v>
      </c>
      <c r="AB10" s="773">
        <f t="shared" si="4"/>
        <v>1</v>
      </c>
      <c r="AC10" s="2670">
        <f t="shared" si="5"/>
        <v>1</v>
      </c>
    </row>
    <row r="11" spans="1:29" ht="15">
      <c r="A11" s="428"/>
      <c r="B11" s="422" t="s">
        <v>2551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373"/>
      <c r="Q11" s="1795" t="str">
        <f t="shared" si="6"/>
        <v>容积率</v>
      </c>
      <c r="R11" s="770" t="s">
        <v>17</v>
      </c>
      <c r="S11" s="771" t="e">
        <f t="shared" si="0"/>
        <v>#N/A</v>
      </c>
      <c r="T11" s="770" t="s">
        <v>17</v>
      </c>
      <c r="U11" s="771" t="e">
        <f t="shared" si="1"/>
        <v>#N/A</v>
      </c>
      <c r="V11" s="770" t="s">
        <v>17</v>
      </c>
      <c r="W11" s="771" t="e">
        <f t="shared" si="2"/>
        <v>#N/A</v>
      </c>
      <c r="X11" s="772"/>
      <c r="Y11" s="3204"/>
      <c r="Z11" s="55" t="str">
        <f t="shared" si="7"/>
        <v>容积率</v>
      </c>
      <c r="AA11" s="773" t="e">
        <f t="shared" si="3"/>
        <v>#N/A</v>
      </c>
      <c r="AB11" s="773" t="e">
        <f t="shared" si="4"/>
        <v>#N/A</v>
      </c>
      <c r="AC11" s="2670" t="e">
        <f t="shared" si="5"/>
        <v>#N/A</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2"/>
      <c r="M12" s="1133"/>
      <c r="N12" s="1133"/>
      <c r="O12" s="1133"/>
      <c r="P12" s="3373"/>
      <c r="Q12" s="1795">
        <f t="shared" si="6"/>
        <v>111</v>
      </c>
      <c r="R12" s="770" t="s">
        <v>17</v>
      </c>
      <c r="S12" s="771">
        <f t="shared" si="0"/>
        <v>100</v>
      </c>
      <c r="T12" s="770" t="s">
        <v>17</v>
      </c>
      <c r="U12" s="771">
        <f t="shared" si="1"/>
        <v>100</v>
      </c>
      <c r="V12" s="770" t="s">
        <v>17</v>
      </c>
      <c r="W12" s="771">
        <f t="shared" si="2"/>
        <v>100</v>
      </c>
      <c r="X12" s="772"/>
      <c r="Y12" s="3204"/>
      <c r="Z12" s="55">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40"/>
      <c r="M13" s="1131"/>
      <c r="N13" s="1131"/>
      <c r="O13" s="1131"/>
      <c r="P13" s="3373"/>
      <c r="Q13" s="1795">
        <f t="shared" si="6"/>
        <v>111</v>
      </c>
      <c r="R13" s="770" t="s">
        <v>17</v>
      </c>
      <c r="S13" s="771">
        <f t="shared" si="0"/>
        <v>100</v>
      </c>
      <c r="T13" s="770" t="s">
        <v>17</v>
      </c>
      <c r="U13" s="771">
        <f t="shared" si="1"/>
        <v>100</v>
      </c>
      <c r="V13" s="770" t="s">
        <v>17</v>
      </c>
      <c r="W13" s="771">
        <f t="shared" si="2"/>
        <v>100</v>
      </c>
      <c r="X13" s="772"/>
      <c r="Y13" s="3204"/>
      <c r="Z13" s="55">
        <f t="shared" si="7"/>
        <v>111</v>
      </c>
      <c r="AA13" s="773">
        <f t="shared" si="3"/>
        <v>1</v>
      </c>
      <c r="AB13" s="773">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40"/>
      <c r="M14" s="1131"/>
      <c r="N14" s="1131"/>
      <c r="O14" s="1131"/>
      <c r="P14" s="3373"/>
      <c r="Q14" s="1795">
        <f t="shared" si="6"/>
        <v>111</v>
      </c>
      <c r="R14" s="770" t="s">
        <v>17</v>
      </c>
      <c r="S14" s="771">
        <f t="shared" si="0"/>
        <v>100</v>
      </c>
      <c r="T14" s="770" t="s">
        <v>17</v>
      </c>
      <c r="U14" s="771">
        <f t="shared" si="1"/>
        <v>100</v>
      </c>
      <c r="V14" s="770" t="s">
        <v>17</v>
      </c>
      <c r="W14" s="771">
        <f t="shared" si="2"/>
        <v>100</v>
      </c>
      <c r="X14" s="772"/>
      <c r="Y14" s="3204"/>
      <c r="Z14" s="55">
        <f t="shared" si="7"/>
        <v>111</v>
      </c>
      <c r="AA14" s="773">
        <f t="shared" si="3"/>
        <v>1</v>
      </c>
      <c r="AB14" s="773">
        <f t="shared" si="4"/>
        <v>1</v>
      </c>
      <c r="AC14" s="2670">
        <f t="shared" si="5"/>
        <v>1</v>
      </c>
    </row>
    <row r="15" spans="1:29" ht="71.25">
      <c r="A15" s="440" t="s">
        <v>2552</v>
      </c>
      <c r="B15" s="629" t="s">
        <v>2680</v>
      </c>
      <c r="C15" s="2672"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430" t="s">
        <v>2553</v>
      </c>
      <c r="Q15" s="1810" t="str">
        <f t="shared" si="6"/>
        <v>办公集聚程度</v>
      </c>
      <c r="R15" s="774" t="s">
        <v>17</v>
      </c>
      <c r="S15" s="775">
        <f t="shared" si="0"/>
        <v>100</v>
      </c>
      <c r="T15" s="774" t="s">
        <v>17</v>
      </c>
      <c r="U15" s="775">
        <f t="shared" si="1"/>
        <v>100</v>
      </c>
      <c r="V15" s="774" t="s">
        <v>17</v>
      </c>
      <c r="W15" s="775">
        <f t="shared" si="2"/>
        <v>100</v>
      </c>
      <c r="X15" s="1813"/>
      <c r="Y15" s="3351" t="s">
        <v>2553</v>
      </c>
      <c r="Z15" s="1814" t="str">
        <f t="shared" si="7"/>
        <v>办公集聚程度</v>
      </c>
      <c r="AA15" s="1811">
        <f t="shared" si="3"/>
        <v>1</v>
      </c>
      <c r="AB15" s="1811">
        <f t="shared" si="4"/>
        <v>1</v>
      </c>
      <c r="AC15" s="2673">
        <f t="shared" si="5"/>
        <v>1</v>
      </c>
    </row>
    <row r="16" spans="1:29" ht="15">
      <c r="A16" s="428"/>
      <c r="B16" s="630"/>
      <c r="C16" s="2610"/>
      <c r="D16" s="448"/>
      <c r="E16" s="447"/>
      <c r="F16" s="448"/>
      <c r="G16" s="2610"/>
      <c r="H16" s="450"/>
      <c r="I16" s="447"/>
      <c r="J16" s="448"/>
      <c r="K16" s="615"/>
      <c r="L16" s="1140"/>
      <c r="M16" s="1131"/>
      <c r="N16" s="1131"/>
      <c r="O16" s="1131"/>
      <c r="P16" s="3431"/>
      <c r="Q16" s="1810"/>
      <c r="R16" s="774"/>
      <c r="S16" s="775"/>
      <c r="T16" s="774"/>
      <c r="U16" s="775"/>
      <c r="V16" s="774"/>
      <c r="W16" s="775"/>
      <c r="X16" s="1813"/>
      <c r="Y16" s="3352"/>
      <c r="Z16" s="1814"/>
      <c r="AA16" s="1811">
        <v>1</v>
      </c>
      <c r="AB16" s="1811">
        <v>1</v>
      </c>
      <c r="AC16" s="2673">
        <v>1</v>
      </c>
    </row>
    <row r="17" spans="1:29" ht="71.25">
      <c r="A17" s="428"/>
      <c r="B17" s="631" t="s">
        <v>2091</v>
      </c>
      <c r="C17" s="2674"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431"/>
      <c r="Q17" s="1810" t="str">
        <f>B17</f>
        <v>交通便捷度</v>
      </c>
      <c r="R17" s="774" t="s">
        <v>17</v>
      </c>
      <c r="S17" s="775">
        <f>F17</f>
        <v>100</v>
      </c>
      <c r="T17" s="774" t="s">
        <v>17</v>
      </c>
      <c r="U17" s="775">
        <f>H17</f>
        <v>100</v>
      </c>
      <c r="V17" s="774" t="s">
        <v>17</v>
      </c>
      <c r="W17" s="775">
        <f>J17</f>
        <v>100</v>
      </c>
      <c r="X17" s="1813"/>
      <c r="Y17" s="3352"/>
      <c r="Z17" s="1814" t="str">
        <f>Q17</f>
        <v>交通便捷度</v>
      </c>
      <c r="AA17" s="1811">
        <f t="shared" si="3"/>
        <v>1</v>
      </c>
      <c r="AB17" s="1811">
        <f t="shared" si="4"/>
        <v>1</v>
      </c>
      <c r="AC17" s="2673">
        <f t="shared" si="5"/>
        <v>1</v>
      </c>
    </row>
    <row r="18" spans="1:29" ht="15">
      <c r="A18" s="428"/>
      <c r="B18" s="632"/>
      <c r="C18" s="2675"/>
      <c r="D18" s="450"/>
      <c r="E18" s="2608"/>
      <c r="F18" s="450"/>
      <c r="G18" s="2609"/>
      <c r="H18" s="448"/>
      <c r="I18" s="2609"/>
      <c r="J18" s="448"/>
      <c r="K18" s="615"/>
      <c r="L18" s="1140"/>
      <c r="M18" s="1131"/>
      <c r="N18" s="1131"/>
      <c r="O18" s="1131"/>
      <c r="P18" s="3431"/>
      <c r="Q18" s="1810"/>
      <c r="R18" s="774"/>
      <c r="S18" s="775"/>
      <c r="T18" s="774"/>
      <c r="U18" s="775"/>
      <c r="V18" s="774"/>
      <c r="W18" s="775"/>
      <c r="X18" s="1813"/>
      <c r="Y18" s="3352"/>
      <c r="Z18" s="1814"/>
      <c r="AA18" s="1811">
        <v>1</v>
      </c>
      <c r="AB18" s="1811">
        <v>1</v>
      </c>
      <c r="AC18" s="2673">
        <v>1</v>
      </c>
    </row>
    <row r="19" spans="1:29" ht="42.75">
      <c r="A19" s="428"/>
      <c r="B19" s="631" t="s">
        <v>2681</v>
      </c>
      <c r="C19" s="2674"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431"/>
      <c r="Q19" s="1810" t="str">
        <f>B19</f>
        <v>公共配套设施</v>
      </c>
      <c r="R19" s="774" t="s">
        <v>17</v>
      </c>
      <c r="S19" s="775">
        <f>F19</f>
        <v>100</v>
      </c>
      <c r="T19" s="774" t="s">
        <v>17</v>
      </c>
      <c r="U19" s="775">
        <f>H19</f>
        <v>100</v>
      </c>
      <c r="V19" s="774" t="s">
        <v>17</v>
      </c>
      <c r="W19" s="775">
        <f>J19</f>
        <v>100</v>
      </c>
      <c r="X19" s="1813"/>
      <c r="Y19" s="3352"/>
      <c r="Z19" s="1814" t="str">
        <f>Q19</f>
        <v>公共配套设施</v>
      </c>
      <c r="AA19" s="1811">
        <f t="shared" si="3"/>
        <v>1</v>
      </c>
      <c r="AB19" s="1811">
        <f t="shared" si="4"/>
        <v>1</v>
      </c>
      <c r="AC19" s="2673">
        <f t="shared" si="5"/>
        <v>1</v>
      </c>
    </row>
    <row r="20" spans="1:29" ht="15">
      <c r="A20" s="428"/>
      <c r="B20" s="632"/>
      <c r="C20" s="2610"/>
      <c r="D20" s="448"/>
      <c r="E20" s="2603"/>
      <c r="F20" s="448"/>
      <c r="G20" s="2604"/>
      <c r="H20" s="448"/>
      <c r="I20" s="2604"/>
      <c r="J20" s="448"/>
      <c r="K20" s="615"/>
      <c r="L20" s="1140"/>
      <c r="M20" s="1131"/>
      <c r="N20" s="1131"/>
      <c r="O20" s="1131"/>
      <c r="P20" s="3431"/>
      <c r="Q20" s="1810"/>
      <c r="R20" s="774"/>
      <c r="S20" s="775"/>
      <c r="T20" s="774"/>
      <c r="U20" s="775"/>
      <c r="V20" s="774"/>
      <c r="W20" s="775"/>
      <c r="X20" s="1813"/>
      <c r="Y20" s="3352"/>
      <c r="Z20" s="1814"/>
      <c r="AA20" s="1811">
        <v>1</v>
      </c>
      <c r="AB20" s="1811">
        <v>1</v>
      </c>
      <c r="AC20" s="2673">
        <v>1</v>
      </c>
    </row>
    <row r="21" spans="1:29" ht="28.5">
      <c r="A21" s="428"/>
      <c r="B21" s="633" t="s">
        <v>2682</v>
      </c>
      <c r="C21" s="2674"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431"/>
      <c r="Q21" s="1810" t="str">
        <f>B21</f>
        <v>基础设施水平</v>
      </c>
      <c r="R21" s="774" t="s">
        <v>17</v>
      </c>
      <c r="S21" s="775">
        <f>F21</f>
        <v>100</v>
      </c>
      <c r="T21" s="774" t="s">
        <v>17</v>
      </c>
      <c r="U21" s="775">
        <f>H21</f>
        <v>100</v>
      </c>
      <c r="V21" s="774" t="s">
        <v>17</v>
      </c>
      <c r="W21" s="775">
        <f>J21</f>
        <v>100</v>
      </c>
      <c r="X21" s="1813"/>
      <c r="Y21" s="3352"/>
      <c r="Z21" s="1814" t="str">
        <f>Q21</f>
        <v>基础设施水平</v>
      </c>
      <c r="AA21" s="1811">
        <f t="shared" ref="AA21" si="8">D21/F21</f>
        <v>1</v>
      </c>
      <c r="AB21" s="1811">
        <f t="shared" ref="AB21" si="9">D21/H21</f>
        <v>1</v>
      </c>
      <c r="AC21" s="2673">
        <f t="shared" ref="AC21" si="10">D21/J21</f>
        <v>1</v>
      </c>
    </row>
    <row r="22" spans="1:29" ht="15">
      <c r="A22" s="428"/>
      <c r="B22" s="633"/>
      <c r="C22" s="2675"/>
      <c r="D22" s="448"/>
      <c r="E22" s="447"/>
      <c r="F22" s="448"/>
      <c r="G22" s="2610"/>
      <c r="H22" s="448"/>
      <c r="I22" s="2610"/>
      <c r="J22" s="448"/>
      <c r="K22" s="1383"/>
      <c r="L22" s="1140"/>
      <c r="M22" s="1131"/>
      <c r="N22" s="1131"/>
      <c r="O22" s="1131"/>
      <c r="P22" s="3431"/>
      <c r="Q22" s="1810"/>
      <c r="R22" s="774"/>
      <c r="S22" s="775"/>
      <c r="T22" s="774"/>
      <c r="U22" s="775"/>
      <c r="V22" s="774"/>
      <c r="W22" s="775"/>
      <c r="X22" s="1813"/>
      <c r="Y22" s="3352"/>
      <c r="Z22" s="1814"/>
      <c r="AA22" s="1811">
        <v>1</v>
      </c>
      <c r="AB22" s="1811">
        <v>1</v>
      </c>
      <c r="AC22" s="2673">
        <v>1</v>
      </c>
    </row>
    <row r="23" spans="1:29" ht="42.75">
      <c r="A23" s="428"/>
      <c r="B23" s="631" t="s">
        <v>2683</v>
      </c>
      <c r="C23" s="2674"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431"/>
      <c r="Q23" s="1810" t="str">
        <f>B23</f>
        <v>环境质量</v>
      </c>
      <c r="R23" s="774" t="s">
        <v>17</v>
      </c>
      <c r="S23" s="775">
        <f>F23</f>
        <v>100</v>
      </c>
      <c r="T23" s="774" t="s">
        <v>17</v>
      </c>
      <c r="U23" s="775">
        <f>H23</f>
        <v>100</v>
      </c>
      <c r="V23" s="774" t="s">
        <v>17</v>
      </c>
      <c r="W23" s="775">
        <f>J23</f>
        <v>100</v>
      </c>
      <c r="X23" s="1813"/>
      <c r="Y23" s="3352"/>
      <c r="Z23" s="1814" t="str">
        <f>Q23</f>
        <v>环境质量</v>
      </c>
      <c r="AA23" s="1811">
        <f t="shared" si="3"/>
        <v>1</v>
      </c>
      <c r="AB23" s="1811">
        <f t="shared" si="4"/>
        <v>1</v>
      </c>
      <c r="AC23" s="2673">
        <f t="shared" si="5"/>
        <v>1</v>
      </c>
    </row>
    <row r="24" spans="1:29" ht="15">
      <c r="A24" s="428"/>
      <c r="B24" s="633"/>
      <c r="C24" s="2610"/>
      <c r="D24" s="448"/>
      <c r="E24" s="2603"/>
      <c r="F24" s="448"/>
      <c r="G24" s="2604"/>
      <c r="H24" s="448"/>
      <c r="I24" s="2604"/>
      <c r="J24" s="448"/>
      <c r="K24" s="615"/>
      <c r="L24" s="1140"/>
      <c r="M24" s="1131"/>
      <c r="N24" s="1131"/>
      <c r="O24" s="1131"/>
      <c r="P24" s="3431"/>
      <c r="Q24" s="1810"/>
      <c r="R24" s="774"/>
      <c r="S24" s="775"/>
      <c r="T24" s="774"/>
      <c r="U24" s="775"/>
      <c r="V24" s="774"/>
      <c r="W24" s="775"/>
      <c r="X24" s="1813"/>
      <c r="Y24" s="3352"/>
      <c r="Z24" s="1814"/>
      <c r="AA24" s="1811">
        <v>1</v>
      </c>
      <c r="AB24" s="1811">
        <v>1</v>
      </c>
      <c r="AC24" s="2673">
        <v>1</v>
      </c>
    </row>
    <row r="25" spans="1:29" ht="27">
      <c r="A25" s="404"/>
      <c r="B25" s="631" t="s">
        <v>2684</v>
      </c>
      <c r="C25" s="2614"/>
      <c r="D25" s="435">
        <v>100</v>
      </c>
      <c r="E25" s="434"/>
      <c r="F25" s="435">
        <f>SUMIF(87:87,E26,88:88)-SUMIF(87:87,C26,88:88)+100</f>
        <v>100</v>
      </c>
      <c r="G25" s="2614"/>
      <c r="H25" s="435">
        <f>SUMIF(87:87,G26,88:88)-SUMIF(87:87,C26,88:88)+100</f>
        <v>100</v>
      </c>
      <c r="I25" s="434"/>
      <c r="J25" s="435">
        <f>SUMIF(87:87,I26,88:88)-SUMIF(87:87,C26,88:88)+100</f>
        <v>100</v>
      </c>
      <c r="K25" s="614"/>
      <c r="L25" s="1140"/>
      <c r="M25" s="1131"/>
      <c r="N25" s="1131"/>
      <c r="O25" s="1131"/>
      <c r="P25" s="3431"/>
      <c r="Q25" s="1810" t="str">
        <f>B25</f>
        <v>毗邻道路的类型与等级</v>
      </c>
      <c r="R25" s="774" t="s">
        <v>17</v>
      </c>
      <c r="S25" s="775">
        <f>F25</f>
        <v>100</v>
      </c>
      <c r="T25" s="774" t="s">
        <v>17</v>
      </c>
      <c r="U25" s="775">
        <f>H25</f>
        <v>100</v>
      </c>
      <c r="V25" s="774" t="s">
        <v>17</v>
      </c>
      <c r="W25" s="775">
        <f>J25</f>
        <v>100</v>
      </c>
      <c r="X25" s="1813"/>
      <c r="Y25" s="3352"/>
      <c r="Z25" s="1814" t="str">
        <f>Q25</f>
        <v>毗邻道路的类型与等级</v>
      </c>
      <c r="AA25" s="1811">
        <f t="shared" si="3"/>
        <v>1</v>
      </c>
      <c r="AB25" s="1811">
        <f t="shared" si="4"/>
        <v>1</v>
      </c>
      <c r="AC25" s="2673">
        <f t="shared" si="5"/>
        <v>1</v>
      </c>
    </row>
    <row r="26" spans="1:29" ht="15">
      <c r="A26" s="404"/>
      <c r="B26" s="632"/>
      <c r="C26" s="634"/>
      <c r="D26" s="435"/>
      <c r="E26" s="616"/>
      <c r="F26" s="435"/>
      <c r="G26" s="634"/>
      <c r="H26" s="435"/>
      <c r="I26" s="616"/>
      <c r="J26" s="435"/>
      <c r="K26" s="615"/>
      <c r="L26" s="1140"/>
      <c r="M26" s="1131"/>
      <c r="N26" s="1131"/>
      <c r="O26" s="1131"/>
      <c r="P26" s="3431"/>
      <c r="Q26" s="1810"/>
      <c r="R26" s="774"/>
      <c r="S26" s="775"/>
      <c r="T26" s="774"/>
      <c r="U26" s="775"/>
      <c r="V26" s="774"/>
      <c r="W26" s="775"/>
      <c r="X26" s="1813"/>
      <c r="Y26" s="3352"/>
      <c r="Z26" s="1814"/>
      <c r="AA26" s="1811">
        <v>1</v>
      </c>
      <c r="AB26" s="1811">
        <v>1</v>
      </c>
      <c r="AC26" s="2673">
        <v>1</v>
      </c>
    </row>
    <row r="27" spans="1:29" ht="15">
      <c r="A27" s="428"/>
      <c r="B27" s="632" t="s">
        <v>2652</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431"/>
      <c r="Q27" s="1810" t="str">
        <f t="shared" ref="Q27:Q47" si="11">B27</f>
        <v>楼层</v>
      </c>
      <c r="R27" s="774" t="s">
        <v>17</v>
      </c>
      <c r="S27" s="775">
        <f>F27</f>
        <v>100</v>
      </c>
      <c r="T27" s="774" t="s">
        <v>17</v>
      </c>
      <c r="U27" s="775">
        <f>H27</f>
        <v>100</v>
      </c>
      <c r="V27" s="774" t="s">
        <v>17</v>
      </c>
      <c r="W27" s="775">
        <f>J27</f>
        <v>100</v>
      </c>
      <c r="X27" s="1813"/>
      <c r="Y27" s="3352"/>
      <c r="Z27" s="1814" t="str">
        <f>Q27</f>
        <v>楼层</v>
      </c>
      <c r="AA27" s="1811">
        <f t="shared" si="3"/>
        <v>1</v>
      </c>
      <c r="AB27" s="1811">
        <f t="shared" si="4"/>
        <v>1</v>
      </c>
      <c r="AC27" s="2673">
        <f t="shared" si="5"/>
        <v>1</v>
      </c>
    </row>
    <row r="28" spans="1:29" s="117" customFormat="1" ht="15">
      <c r="A28" s="431"/>
      <c r="B28" s="631" t="s">
        <v>2685</v>
      </c>
      <c r="C28" s="2676"/>
      <c r="D28" s="462">
        <v>100</v>
      </c>
      <c r="E28" s="2664"/>
      <c r="F28" s="462">
        <f>SUMIF(91:91,E28,92:92)-SUMIF(91:91,C28,92:92)+100</f>
        <v>100</v>
      </c>
      <c r="G28" s="2676"/>
      <c r="H28" s="462">
        <f>SUMIF(91:91,G28,92:92)-SUMIF(91:91,C28,92:92)+100</f>
        <v>100</v>
      </c>
      <c r="I28" s="2664"/>
      <c r="J28" s="462">
        <f>SUMIF(91:91,I28,92:92)-SUMIF(91:91,C28,92:92)+100</f>
        <v>100</v>
      </c>
      <c r="K28" s="612"/>
      <c r="L28" s="1132"/>
      <c r="M28" s="1133"/>
      <c r="N28" s="1133"/>
      <c r="O28" s="1133"/>
      <c r="P28" s="3431"/>
      <c r="Q28" s="1795" t="str">
        <f t="shared" si="11"/>
        <v>朝向</v>
      </c>
      <c r="R28" s="770" t="s">
        <v>17</v>
      </c>
      <c r="S28" s="771">
        <f>F28</f>
        <v>100</v>
      </c>
      <c r="T28" s="770" t="s">
        <v>17</v>
      </c>
      <c r="U28" s="771">
        <f>H28</f>
        <v>100</v>
      </c>
      <c r="V28" s="770" t="s">
        <v>17</v>
      </c>
      <c r="W28" s="771">
        <f>J28</f>
        <v>100</v>
      </c>
      <c r="X28" s="772"/>
      <c r="Y28" s="3352"/>
      <c r="Z28" s="55" t="str">
        <f>Q28</f>
        <v>朝向</v>
      </c>
      <c r="AA28" s="1811">
        <f>D28/F28</f>
        <v>1</v>
      </c>
      <c r="AB28" s="1811">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40"/>
      <c r="M29" s="1131"/>
      <c r="N29" s="1131"/>
      <c r="O29" s="1131"/>
      <c r="P29" s="3431"/>
      <c r="Q29" s="1810">
        <f t="shared" si="11"/>
        <v>111</v>
      </c>
      <c r="R29" s="774" t="s">
        <v>17</v>
      </c>
      <c r="S29" s="775">
        <f t="shared" ref="S29:S47" si="12">F29</f>
        <v>100</v>
      </c>
      <c r="T29" s="774" t="s">
        <v>17</v>
      </c>
      <c r="U29" s="775">
        <f t="shared" ref="U29:U47" si="13">H29</f>
        <v>100</v>
      </c>
      <c r="V29" s="774" t="s">
        <v>17</v>
      </c>
      <c r="W29" s="775">
        <f t="shared" ref="W29:W47" si="14">J29</f>
        <v>100</v>
      </c>
      <c r="X29" s="1813"/>
      <c r="Y29" s="3352"/>
      <c r="Z29" s="1814">
        <f t="shared" ref="Z29:Z47" si="15">Q29</f>
        <v>111</v>
      </c>
      <c r="AA29" s="1811">
        <f t="shared" si="3"/>
        <v>1</v>
      </c>
      <c r="AB29" s="1811">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40"/>
      <c r="M30" s="1131"/>
      <c r="N30" s="1131"/>
      <c r="O30" s="1131"/>
      <c r="P30" s="3431"/>
      <c r="Q30" s="1810">
        <f t="shared" si="11"/>
        <v>111</v>
      </c>
      <c r="R30" s="774" t="s">
        <v>17</v>
      </c>
      <c r="S30" s="775">
        <f t="shared" si="12"/>
        <v>100</v>
      </c>
      <c r="T30" s="774" t="s">
        <v>17</v>
      </c>
      <c r="U30" s="775">
        <f t="shared" si="13"/>
        <v>100</v>
      </c>
      <c r="V30" s="774" t="s">
        <v>17</v>
      </c>
      <c r="W30" s="775">
        <f t="shared" si="14"/>
        <v>100</v>
      </c>
      <c r="X30" s="1813"/>
      <c r="Y30" s="3352"/>
      <c r="Z30" s="1814">
        <f t="shared" si="15"/>
        <v>111</v>
      </c>
      <c r="AA30" s="1811">
        <f t="shared" si="3"/>
        <v>1</v>
      </c>
      <c r="AB30" s="1811">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40"/>
      <c r="M31" s="1131"/>
      <c r="N31" s="1131"/>
      <c r="O31" s="1131"/>
      <c r="P31" s="3431"/>
      <c r="Q31" s="1810">
        <f t="shared" si="11"/>
        <v>111</v>
      </c>
      <c r="R31" s="774" t="s">
        <v>17</v>
      </c>
      <c r="S31" s="775">
        <f t="shared" si="12"/>
        <v>100</v>
      </c>
      <c r="T31" s="774" t="s">
        <v>17</v>
      </c>
      <c r="U31" s="775">
        <f t="shared" si="13"/>
        <v>100</v>
      </c>
      <c r="V31" s="774" t="s">
        <v>17</v>
      </c>
      <c r="W31" s="775">
        <f t="shared" si="14"/>
        <v>100</v>
      </c>
      <c r="X31" s="1813"/>
      <c r="Y31" s="3352"/>
      <c r="Z31" s="1814">
        <f t="shared" si="15"/>
        <v>111</v>
      </c>
      <c r="AA31" s="1811">
        <f t="shared" si="3"/>
        <v>1</v>
      </c>
      <c r="AB31" s="1811">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40"/>
      <c r="M32" s="1131"/>
      <c r="N32" s="1131"/>
      <c r="O32" s="1131"/>
      <c r="P32" s="3431"/>
      <c r="Q32" s="1810">
        <f t="shared" si="11"/>
        <v>111</v>
      </c>
      <c r="R32" s="774" t="s">
        <v>17</v>
      </c>
      <c r="S32" s="775">
        <f t="shared" si="12"/>
        <v>100</v>
      </c>
      <c r="T32" s="774" t="s">
        <v>17</v>
      </c>
      <c r="U32" s="775">
        <f t="shared" si="13"/>
        <v>100</v>
      </c>
      <c r="V32" s="774" t="s">
        <v>17</v>
      </c>
      <c r="W32" s="775">
        <f t="shared" si="14"/>
        <v>100</v>
      </c>
      <c r="X32" s="1813"/>
      <c r="Y32" s="3352"/>
      <c r="Z32" s="1814">
        <f t="shared" si="15"/>
        <v>111</v>
      </c>
      <c r="AA32" s="1811">
        <f t="shared" si="3"/>
        <v>1</v>
      </c>
      <c r="AB32" s="1811">
        <f t="shared" si="4"/>
        <v>1</v>
      </c>
      <c r="AC32" s="2673">
        <f t="shared" si="5"/>
        <v>1</v>
      </c>
    </row>
    <row r="33" spans="1:29" ht="15">
      <c r="A33" s="440" t="s">
        <v>2556</v>
      </c>
      <c r="B33" s="71" t="s">
        <v>2686</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40"/>
      <c r="M33" s="1131"/>
      <c r="N33" s="1131"/>
      <c r="O33" s="1131"/>
      <c r="P33" s="3426" t="s">
        <v>2558</v>
      </c>
      <c r="Q33" s="1810" t="str">
        <f t="shared" si="11"/>
        <v>建筑类型</v>
      </c>
      <c r="R33" s="774" t="s">
        <v>17</v>
      </c>
      <c r="S33" s="775">
        <f t="shared" si="12"/>
        <v>100</v>
      </c>
      <c r="T33" s="774" t="s">
        <v>17</v>
      </c>
      <c r="U33" s="775">
        <f t="shared" si="13"/>
        <v>100</v>
      </c>
      <c r="V33" s="774" t="s">
        <v>17</v>
      </c>
      <c r="W33" s="775">
        <f t="shared" si="14"/>
        <v>100</v>
      </c>
      <c r="X33" s="1813"/>
      <c r="Y33" s="3354" t="s">
        <v>2558</v>
      </c>
      <c r="Z33" s="1814" t="str">
        <f t="shared" si="15"/>
        <v>建筑类型</v>
      </c>
      <c r="AA33" s="1811">
        <f t="shared" si="3"/>
        <v>1</v>
      </c>
      <c r="AB33" s="1811">
        <f t="shared" si="4"/>
        <v>1</v>
      </c>
      <c r="AC33" s="2673">
        <f t="shared" si="5"/>
        <v>1</v>
      </c>
    </row>
    <row r="34" spans="1:29" s="471" customFormat="1" ht="15">
      <c r="A34" s="468"/>
      <c r="B34" s="422" t="s">
        <v>2559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427"/>
      <c r="Q34" s="776" t="str">
        <f t="shared" si="11"/>
        <v>项目建筑规模</v>
      </c>
      <c r="R34" s="777" t="s">
        <v>17</v>
      </c>
      <c r="S34" s="778" t="e">
        <f t="shared" si="12"/>
        <v>#N/A</v>
      </c>
      <c r="T34" s="777" t="s">
        <v>17</v>
      </c>
      <c r="U34" s="778" t="e">
        <f t="shared" si="13"/>
        <v>#N/A</v>
      </c>
      <c r="V34" s="777" t="s">
        <v>17</v>
      </c>
      <c r="W34" s="778" t="e">
        <f t="shared" si="14"/>
        <v>#N/A</v>
      </c>
      <c r="X34" s="779"/>
      <c r="Y34" s="3354"/>
      <c r="Z34" s="780" t="str">
        <f t="shared" si="15"/>
        <v>项目建筑规模</v>
      </c>
      <c r="AA34" s="1811" t="e">
        <f t="shared" si="3"/>
        <v>#N/A</v>
      </c>
      <c r="AB34" s="1811" t="e">
        <f t="shared" si="4"/>
        <v>#N/A</v>
      </c>
      <c r="AC34" s="2673" t="e">
        <f t="shared" si="5"/>
        <v>#N/A</v>
      </c>
    </row>
    <row r="35" spans="1:29" ht="15">
      <c r="A35" s="472"/>
      <c r="B35" s="422" t="s">
        <v>2560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427"/>
      <c r="Q35" s="1810" t="str">
        <f t="shared" si="11"/>
        <v>建筑结构</v>
      </c>
      <c r="R35" s="774" t="s">
        <v>17</v>
      </c>
      <c r="S35" s="775">
        <f t="shared" si="12"/>
        <v>100</v>
      </c>
      <c r="T35" s="774" t="s">
        <v>17</v>
      </c>
      <c r="U35" s="775">
        <f t="shared" si="13"/>
        <v>100</v>
      </c>
      <c r="V35" s="774" t="s">
        <v>17</v>
      </c>
      <c r="W35" s="775">
        <f t="shared" si="14"/>
        <v>100</v>
      </c>
      <c r="X35" s="1813"/>
      <c r="Y35" s="3354"/>
      <c r="Z35" s="1814" t="str">
        <f t="shared" si="15"/>
        <v>建筑结构</v>
      </c>
      <c r="AA35" s="1811">
        <f t="shared" si="3"/>
        <v>1</v>
      </c>
      <c r="AB35" s="1811">
        <f t="shared" si="4"/>
        <v>1</v>
      </c>
      <c r="AC35" s="2673">
        <f t="shared" si="5"/>
        <v>1</v>
      </c>
    </row>
    <row r="36" spans="1:29" ht="15">
      <c r="A36" s="472"/>
      <c r="B36" s="422" t="s">
        <v>2654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427"/>
      <c r="Q36" s="1810" t="str">
        <f t="shared" si="11"/>
        <v>公共部分装修</v>
      </c>
      <c r="R36" s="774" t="s">
        <v>17</v>
      </c>
      <c r="S36" s="775">
        <f t="shared" si="12"/>
        <v>100</v>
      </c>
      <c r="T36" s="774" t="s">
        <v>17</v>
      </c>
      <c r="U36" s="775">
        <f t="shared" si="13"/>
        <v>100</v>
      </c>
      <c r="V36" s="774" t="s">
        <v>17</v>
      </c>
      <c r="W36" s="775">
        <f t="shared" si="14"/>
        <v>100</v>
      </c>
      <c r="X36" s="1813"/>
      <c r="Y36" s="3354"/>
      <c r="Z36" s="1814" t="str">
        <f t="shared" si="15"/>
        <v>公共部分装修</v>
      </c>
      <c r="AA36" s="1811">
        <f t="shared" si="3"/>
        <v>1</v>
      </c>
      <c r="AB36" s="1811">
        <f t="shared" si="4"/>
        <v>1</v>
      </c>
      <c r="AC36" s="2673">
        <f t="shared" si="5"/>
        <v>1</v>
      </c>
    </row>
    <row r="37" spans="1:29" ht="15">
      <c r="A37" s="472"/>
      <c r="B37" s="422" t="s">
        <v>2655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427"/>
      <c r="Q37" s="1810" t="str">
        <f t="shared" si="11"/>
        <v>成新度</v>
      </c>
      <c r="R37" s="774" t="s">
        <v>17</v>
      </c>
      <c r="S37" s="775" t="e">
        <f t="shared" si="12"/>
        <v>#N/A</v>
      </c>
      <c r="T37" s="774" t="s">
        <v>17</v>
      </c>
      <c r="U37" s="775" t="e">
        <f t="shared" si="13"/>
        <v>#N/A</v>
      </c>
      <c r="V37" s="774" t="s">
        <v>17</v>
      </c>
      <c r="W37" s="775" t="e">
        <f t="shared" si="14"/>
        <v>#N/A</v>
      </c>
      <c r="X37" s="1813"/>
      <c r="Y37" s="3354"/>
      <c r="Z37" s="1814" t="str">
        <f t="shared" si="15"/>
        <v>成新度</v>
      </c>
      <c r="AA37" s="1811" t="e">
        <f t="shared" si="3"/>
        <v>#N/A</v>
      </c>
      <c r="AB37" s="1811" t="e">
        <f t="shared" si="4"/>
        <v>#N/A</v>
      </c>
      <c r="AC37" s="2673" t="e">
        <f t="shared" si="5"/>
        <v>#N/A</v>
      </c>
    </row>
    <row r="38" spans="1:29" s="117" customFormat="1" ht="15">
      <c r="A38" s="473"/>
      <c r="B38" s="422" t="s">
        <v>2687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427"/>
      <c r="Q38" s="1795" t="str">
        <f t="shared" si="11"/>
        <v>写字楼等级</v>
      </c>
      <c r="R38" s="770" t="s">
        <v>17</v>
      </c>
      <c r="S38" s="771">
        <f t="shared" si="12"/>
        <v>100</v>
      </c>
      <c r="T38" s="770" t="s">
        <v>17</v>
      </c>
      <c r="U38" s="771">
        <f t="shared" si="13"/>
        <v>100</v>
      </c>
      <c r="V38" s="770" t="s">
        <v>17</v>
      </c>
      <c r="W38" s="771">
        <f t="shared" si="14"/>
        <v>100</v>
      </c>
      <c r="X38" s="772"/>
      <c r="Y38" s="3354"/>
      <c r="Z38" s="55" t="str">
        <f t="shared" si="15"/>
        <v>写字楼等级</v>
      </c>
      <c r="AA38" s="773">
        <f t="shared" si="3"/>
        <v>1</v>
      </c>
      <c r="AB38" s="773">
        <f t="shared" si="4"/>
        <v>1</v>
      </c>
      <c r="AC38" s="2670">
        <f t="shared" si="5"/>
        <v>1</v>
      </c>
    </row>
    <row r="39" spans="1:29" ht="15">
      <c r="A39" s="472"/>
      <c r="B39" s="422" t="s">
        <v>2688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427" t="s">
        <v>2558</v>
      </c>
      <c r="Q39" s="1810" t="str">
        <f t="shared" si="11"/>
        <v>物业管理</v>
      </c>
      <c r="R39" s="774" t="s">
        <v>17</v>
      </c>
      <c r="S39" s="775">
        <f t="shared" si="12"/>
        <v>100</v>
      </c>
      <c r="T39" s="774" t="s">
        <v>17</v>
      </c>
      <c r="U39" s="775">
        <f t="shared" si="13"/>
        <v>100</v>
      </c>
      <c r="V39" s="774" t="s">
        <v>17</v>
      </c>
      <c r="W39" s="775">
        <f t="shared" si="14"/>
        <v>100</v>
      </c>
      <c r="X39" s="1813"/>
      <c r="Y39" s="3354" t="s">
        <v>2558</v>
      </c>
      <c r="Z39" s="1814" t="str">
        <f t="shared" si="15"/>
        <v>物业管理</v>
      </c>
      <c r="AA39" s="1811">
        <f t="shared" si="3"/>
        <v>1</v>
      </c>
      <c r="AB39" s="1811">
        <f t="shared" si="4"/>
        <v>1</v>
      </c>
      <c r="AC39" s="2673">
        <f t="shared" si="5"/>
        <v>1</v>
      </c>
    </row>
    <row r="40" spans="1:29" ht="15">
      <c r="A40" s="472"/>
      <c r="B40" s="422" t="s">
        <v>2656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427"/>
      <c r="Q40" s="1810" t="str">
        <f t="shared" si="11"/>
        <v>市政基础设施</v>
      </c>
      <c r="R40" s="774" t="s">
        <v>17</v>
      </c>
      <c r="S40" s="775">
        <f t="shared" si="12"/>
        <v>100</v>
      </c>
      <c r="T40" s="774" t="s">
        <v>17</v>
      </c>
      <c r="U40" s="775">
        <f t="shared" si="13"/>
        <v>100</v>
      </c>
      <c r="V40" s="774" t="s">
        <v>17</v>
      </c>
      <c r="W40" s="775">
        <f t="shared" si="14"/>
        <v>100</v>
      </c>
      <c r="X40" s="1813"/>
      <c r="Y40" s="3354"/>
      <c r="Z40" s="1814" t="str">
        <f t="shared" si="15"/>
        <v>市政基础设施</v>
      </c>
      <c r="AA40" s="1811">
        <f t="shared" si="3"/>
        <v>1</v>
      </c>
      <c r="AB40" s="1811">
        <f t="shared" si="4"/>
        <v>1</v>
      </c>
      <c r="AC40" s="2673">
        <f t="shared" si="5"/>
        <v>1</v>
      </c>
    </row>
    <row r="41" spans="1:29" ht="15">
      <c r="A41" s="472"/>
      <c r="B41" s="422" t="s">
        <v>2658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427"/>
      <c r="Q41" s="1810" t="str">
        <f t="shared" si="11"/>
        <v>层高</v>
      </c>
      <c r="R41" s="774" t="s">
        <v>17</v>
      </c>
      <c r="S41" s="775">
        <f t="shared" si="12"/>
        <v>100</v>
      </c>
      <c r="T41" s="774" t="s">
        <v>17</v>
      </c>
      <c r="U41" s="775">
        <f t="shared" si="13"/>
        <v>100</v>
      </c>
      <c r="V41" s="774" t="s">
        <v>17</v>
      </c>
      <c r="W41" s="775">
        <f t="shared" si="14"/>
        <v>100</v>
      </c>
      <c r="X41" s="1813"/>
      <c r="Y41" s="3354"/>
      <c r="Z41" s="1814" t="str">
        <f t="shared" si="15"/>
        <v>层高</v>
      </c>
      <c r="AA41" s="1811">
        <f t="shared" si="3"/>
        <v>1</v>
      </c>
      <c r="AB41" s="1811">
        <f t="shared" si="4"/>
        <v>1</v>
      </c>
      <c r="AC41" s="2673">
        <f t="shared" si="5"/>
        <v>1</v>
      </c>
    </row>
    <row r="42" spans="1:29" s="471" customFormat="1" ht="15">
      <c r="A42" s="468"/>
      <c r="B42" s="1812" t="s">
        <v>2689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427"/>
      <c r="Q42" s="776" t="str">
        <f t="shared" si="11"/>
        <v>单套建筑面积</v>
      </c>
      <c r="R42" s="777" t="s">
        <v>17</v>
      </c>
      <c r="S42" s="778">
        <f t="shared" si="12"/>
        <v>100</v>
      </c>
      <c r="T42" s="777" t="s">
        <v>17</v>
      </c>
      <c r="U42" s="778">
        <f t="shared" si="13"/>
        <v>100</v>
      </c>
      <c r="V42" s="777" t="s">
        <v>17</v>
      </c>
      <c r="W42" s="778">
        <f t="shared" si="14"/>
        <v>100</v>
      </c>
      <c r="X42" s="779"/>
      <c r="Y42" s="3354"/>
      <c r="Z42" s="780" t="str">
        <f t="shared" si="15"/>
        <v>单套建筑面积</v>
      </c>
      <c r="AA42" s="1811">
        <f t="shared" si="3"/>
        <v>1</v>
      </c>
      <c r="AB42" s="1811">
        <f t="shared" si="4"/>
        <v>1</v>
      </c>
      <c r="AC42" s="2673">
        <f t="shared" si="5"/>
        <v>1</v>
      </c>
    </row>
    <row r="43" spans="1:29" ht="15">
      <c r="A43" s="472"/>
      <c r="B43" s="422" t="s">
        <v>2661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427"/>
      <c r="Q43" s="1810" t="str">
        <f t="shared" si="11"/>
        <v>内部装修</v>
      </c>
      <c r="R43" s="774" t="s">
        <v>17</v>
      </c>
      <c r="S43" s="775">
        <f t="shared" si="12"/>
        <v>100</v>
      </c>
      <c r="T43" s="774" t="s">
        <v>17</v>
      </c>
      <c r="U43" s="775">
        <f t="shared" si="13"/>
        <v>100</v>
      </c>
      <c r="V43" s="774" t="s">
        <v>17</v>
      </c>
      <c r="W43" s="775">
        <f t="shared" si="14"/>
        <v>100</v>
      </c>
      <c r="X43" s="1813"/>
      <c r="Y43" s="3354"/>
      <c r="Z43" s="1814" t="str">
        <f t="shared" si="15"/>
        <v>内部装修</v>
      </c>
      <c r="AA43" s="1811">
        <f t="shared" si="3"/>
        <v>1</v>
      </c>
      <c r="AB43" s="1811">
        <f t="shared" si="4"/>
        <v>1</v>
      </c>
      <c r="AC43" s="2673">
        <f t="shared" si="5"/>
        <v>1</v>
      </c>
    </row>
    <row r="44" spans="1:29" ht="15">
      <c r="A44" s="472"/>
      <c r="B44" s="422" t="s">
        <v>2569</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0"/>
      <c r="M44" s="1131"/>
      <c r="N44" s="1131"/>
      <c r="O44" s="1131"/>
      <c r="P44" s="3427"/>
      <c r="Q44" s="1810" t="str">
        <f t="shared" si="11"/>
        <v>内部装修维护情况</v>
      </c>
      <c r="R44" s="774" t="s">
        <v>17</v>
      </c>
      <c r="S44" s="775">
        <f t="shared" si="12"/>
        <v>100</v>
      </c>
      <c r="T44" s="774" t="s">
        <v>17</v>
      </c>
      <c r="U44" s="775">
        <f t="shared" si="13"/>
        <v>100</v>
      </c>
      <c r="V44" s="774" t="s">
        <v>17</v>
      </c>
      <c r="W44" s="775">
        <f t="shared" si="14"/>
        <v>100</v>
      </c>
      <c r="X44" s="1813"/>
      <c r="Y44" s="3354"/>
      <c r="Z44" s="1814" t="str">
        <f t="shared" si="15"/>
        <v>内部装修维护情况</v>
      </c>
      <c r="AA44" s="1811">
        <f t="shared" si="3"/>
        <v>1</v>
      </c>
      <c r="AB44" s="1811">
        <f t="shared" si="4"/>
        <v>1</v>
      </c>
      <c r="AC44" s="2673">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427"/>
      <c r="Q45" s="1795">
        <f t="shared" si="11"/>
        <v>111</v>
      </c>
      <c r="R45" s="770" t="s">
        <v>17</v>
      </c>
      <c r="S45" s="771">
        <f t="shared" si="12"/>
        <v>100</v>
      </c>
      <c r="T45" s="770" t="s">
        <v>17</v>
      </c>
      <c r="U45" s="771">
        <f t="shared" si="13"/>
        <v>100</v>
      </c>
      <c r="V45" s="770" t="s">
        <v>17</v>
      </c>
      <c r="W45" s="771">
        <f t="shared" si="14"/>
        <v>100</v>
      </c>
      <c r="X45" s="772"/>
      <c r="Y45" s="3354"/>
      <c r="Z45" s="55">
        <f t="shared" si="15"/>
        <v>111</v>
      </c>
      <c r="AA45" s="773">
        <f t="shared" si="3"/>
        <v>1</v>
      </c>
      <c r="AB45" s="773">
        <f t="shared" si="4"/>
        <v>1</v>
      </c>
      <c r="AC45" s="2670">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427"/>
      <c r="Q46" s="1810">
        <f t="shared" si="11"/>
        <v>111</v>
      </c>
      <c r="R46" s="774" t="s">
        <v>17</v>
      </c>
      <c r="S46" s="775">
        <f t="shared" si="12"/>
        <v>100</v>
      </c>
      <c r="T46" s="774" t="s">
        <v>17</v>
      </c>
      <c r="U46" s="775">
        <f t="shared" si="13"/>
        <v>100</v>
      </c>
      <c r="V46" s="774" t="s">
        <v>17</v>
      </c>
      <c r="W46" s="775">
        <f t="shared" si="14"/>
        <v>100</v>
      </c>
      <c r="X46" s="1813"/>
      <c r="Y46" s="3354"/>
      <c r="Z46" s="1814">
        <f t="shared" si="15"/>
        <v>111</v>
      </c>
      <c r="AA46" s="1811">
        <f t="shared" si="3"/>
        <v>1</v>
      </c>
      <c r="AB46" s="1811">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428"/>
      <c r="Q47" s="1810">
        <f t="shared" si="11"/>
        <v>111</v>
      </c>
      <c r="R47" s="774" t="s">
        <v>17</v>
      </c>
      <c r="S47" s="775">
        <f t="shared" si="12"/>
        <v>100</v>
      </c>
      <c r="T47" s="774" t="s">
        <v>17</v>
      </c>
      <c r="U47" s="775">
        <f t="shared" si="13"/>
        <v>100</v>
      </c>
      <c r="V47" s="774" t="s">
        <v>17</v>
      </c>
      <c r="W47" s="775">
        <f t="shared" si="14"/>
        <v>100</v>
      </c>
      <c r="X47" s="1813"/>
      <c r="Y47" s="3429"/>
      <c r="Z47" s="1814">
        <f t="shared" si="15"/>
        <v>111</v>
      </c>
      <c r="AA47" s="1811">
        <f t="shared" si="3"/>
        <v>1</v>
      </c>
      <c r="AB47" s="1811">
        <f t="shared" si="4"/>
        <v>1</v>
      </c>
      <c r="AC47" s="2673">
        <f t="shared" si="5"/>
        <v>1</v>
      </c>
    </row>
    <row r="48" spans="1:29" ht="15">
      <c r="A48" s="479" t="s">
        <v>2570</v>
      </c>
      <c r="B48" s="480"/>
      <c r="C48" s="1407" t="s">
        <v>1</v>
      </c>
      <c r="D48" s="1408"/>
      <c r="E48" s="1409"/>
      <c r="F48" s="1410"/>
      <c r="G48" s="1411"/>
      <c r="H48" s="1412"/>
      <c r="I48" s="1409"/>
      <c r="J48" s="485"/>
      <c r="K48" s="783"/>
      <c r="L48" s="1143"/>
      <c r="M48" s="1131"/>
      <c r="N48" s="1131"/>
      <c r="O48" s="1131"/>
      <c r="P48" s="3373" t="str">
        <f>A48</f>
        <v>成交单价（元/平方米）</v>
      </c>
      <c r="Q48" s="3348"/>
      <c r="R48" s="3425">
        <f>E48</f>
        <v>0</v>
      </c>
      <c r="S48" s="3425"/>
      <c r="T48" s="3425">
        <f>G48</f>
        <v>0</v>
      </c>
      <c r="U48" s="3425"/>
      <c r="V48" s="3425">
        <f>I48</f>
        <v>0</v>
      </c>
      <c r="W48" s="3425"/>
      <c r="X48" s="446"/>
      <c r="Y48" s="781"/>
      <c r="Z48" s="446"/>
      <c r="AA48" s="446"/>
      <c r="AB48" s="446"/>
      <c r="AC48" s="630"/>
    </row>
    <row r="49" spans="1:29" ht="15.75" thickBot="1">
      <c r="A49" s="486" t="s">
        <v>2662</v>
      </c>
      <c r="B49" s="487"/>
      <c r="C49" s="1413" t="e">
        <f>R50</f>
        <v>#DIV/0!</v>
      </c>
      <c r="D49" s="1414"/>
      <c r="E49" s="1415" t="e">
        <f>R49</f>
        <v>#DIV/0!</v>
      </c>
      <c r="F49" s="1415"/>
      <c r="G49" s="1413" t="e">
        <f>T49</f>
        <v>#DIV/0!</v>
      </c>
      <c r="H49" s="1414"/>
      <c r="I49" s="1415" t="e">
        <f>V49</f>
        <v>#DIV/0!</v>
      </c>
      <c r="J49" s="489"/>
      <c r="K49" s="784"/>
      <c r="L49" s="1143"/>
      <c r="M49" s="1131"/>
      <c r="N49" s="1131"/>
      <c r="O49" s="1131"/>
      <c r="P49" s="3373" t="str">
        <f>A49</f>
        <v>比较价值（元/平方米）</v>
      </c>
      <c r="Q49" s="3348"/>
      <c r="R49" s="3425" t="e">
        <f>IF(F1="售价",ROUND(PRODUCT(R48,AA7:AA47),0),ROUND(PRODUCT(R48,AA7:AA47),1))</f>
        <v>#DIV/0!</v>
      </c>
      <c r="S49" s="3425"/>
      <c r="T49" s="3425" t="e">
        <f>IF(F1="售价",ROUND(PRODUCT(T48,AB7:AB47),0),ROUND(PRODUCT(T48,AB7:AB47),1))</f>
        <v>#DIV/0!</v>
      </c>
      <c r="U49" s="3425"/>
      <c r="V49" s="3425" t="e">
        <f>IF(F1="售价",ROUND(PRODUCT(V48,AC7:AC47),0),ROUND(PRODUCT(V48,AC7:AC47),1))</f>
        <v>#DIV/0!</v>
      </c>
      <c r="W49" s="3425"/>
      <c r="X49" s="446"/>
      <c r="Y49" s="446"/>
      <c r="Z49" s="446"/>
      <c r="AA49" s="446"/>
      <c r="AB49" s="446"/>
      <c r="AC49" s="630"/>
    </row>
    <row r="50" spans="1:29" ht="15.75" thickBot="1">
      <c r="A50" s="492" t="s">
        <v>2663</v>
      </c>
      <c r="B50" s="493"/>
      <c r="C50" s="1417" t="e">
        <f>R50</f>
        <v>#DIV/0!</v>
      </c>
      <c r="D50" s="1417"/>
      <c r="E50" s="1417"/>
      <c r="F50" s="1417"/>
      <c r="G50" s="1417"/>
      <c r="H50" s="1417"/>
      <c r="I50" s="1417"/>
      <c r="J50" s="494"/>
      <c r="K50" s="785"/>
      <c r="L50" s="1143"/>
      <c r="M50" s="1131"/>
      <c r="N50" s="1131"/>
      <c r="O50" s="1131"/>
      <c r="P50" s="3444" t="str">
        <f>A50</f>
        <v>估价对象XX用房的比较价值（楼面单价，元/平方米）</v>
      </c>
      <c r="Q50" s="3445"/>
      <c r="R50" s="3446" t="e">
        <f>IF(F1="售价",ROUND(AVERAGE(R49:V49),0),ROUND(AVERAGE(R49:V49),1))</f>
        <v>#DIV/0!</v>
      </c>
      <c r="S50" s="3446"/>
      <c r="T50" s="3446"/>
      <c r="U50" s="3446"/>
      <c r="V50" s="3446"/>
      <c r="W50" s="3446"/>
      <c r="X50" s="2653"/>
      <c r="Y50" s="2653"/>
      <c r="Z50" s="2653"/>
      <c r="AA50" s="2653"/>
      <c r="AB50" s="2653"/>
      <c r="AC50" s="2654"/>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9"/>
    </row>
    <row r="56" spans="1:29" s="502"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1.75" thickBot="1">
      <c r="A58" s="763" t="s">
        <v>2667</v>
      </c>
      <c r="B58" s="759"/>
      <c r="C58" s="764"/>
      <c r="D58" s="764"/>
      <c r="E58" s="764"/>
      <c r="F58" s="765"/>
      <c r="G58" s="765"/>
      <c r="H58" s="764"/>
      <c r="I58" s="764"/>
      <c r="J58" s="764"/>
      <c r="K58" s="766"/>
      <c r="L58" s="1161"/>
      <c r="M58" s="1159"/>
      <c r="N58" s="1159"/>
      <c r="O58" s="1159"/>
      <c r="P58" s="2680"/>
      <c r="Q58" s="504"/>
    </row>
    <row r="59" spans="1:29" s="508" customFormat="1" ht="15">
      <c r="A59" s="505" t="s">
        <v>2541</v>
      </c>
      <c r="B59" s="506"/>
      <c r="C59" s="1574" t="str">
        <f>YEAR(C7)&amp;"-"&amp;MONTH(C7)</f>
        <v>2019-3</v>
      </c>
      <c r="D59" s="1575">
        <f>EDATE(C59,-1)</f>
        <v>43497</v>
      </c>
      <c r="E59" s="1575">
        <f>EDATE(D59,-1)</f>
        <v>43466</v>
      </c>
      <c r="F59" s="1575">
        <f t="shared" ref="F59:O59" si="16">EDATE(E59,-1)</f>
        <v>43435</v>
      </c>
      <c r="G59" s="1575">
        <f t="shared" si="16"/>
        <v>43405</v>
      </c>
      <c r="H59" s="1575">
        <f t="shared" si="16"/>
        <v>43374</v>
      </c>
      <c r="I59" s="1575">
        <f t="shared" si="16"/>
        <v>43344</v>
      </c>
      <c r="J59" s="1575">
        <f t="shared" si="16"/>
        <v>43313</v>
      </c>
      <c r="K59" s="1575">
        <f t="shared" si="16"/>
        <v>43282</v>
      </c>
      <c r="L59" s="1575">
        <f t="shared" si="16"/>
        <v>43252</v>
      </c>
      <c r="M59" s="1575">
        <f t="shared" si="16"/>
        <v>43221</v>
      </c>
      <c r="N59" s="1575">
        <f t="shared" si="16"/>
        <v>43191</v>
      </c>
      <c r="O59" s="1575">
        <f t="shared" si="16"/>
        <v>43160</v>
      </c>
      <c r="P59" s="1571"/>
    </row>
    <row r="60" spans="1:29" s="117" customFormat="1" ht="15">
      <c r="A60" s="509"/>
      <c r="B60" s="510"/>
      <c r="C60" s="1573">
        <v>100</v>
      </c>
      <c r="D60" s="512"/>
      <c r="E60" s="512"/>
      <c r="F60" s="512"/>
      <c r="G60" s="512"/>
      <c r="H60" s="512"/>
      <c r="I60" s="512"/>
      <c r="J60" s="512"/>
      <c r="K60" s="512"/>
      <c r="L60" s="512"/>
      <c r="M60" s="513"/>
      <c r="N60" s="512"/>
      <c r="O60" s="513"/>
      <c r="P60" s="2681"/>
    </row>
    <row r="61" spans="1:29" s="117" customFormat="1" ht="15.75" thickBot="1">
      <c r="A61" s="515" t="s">
        <v>2578</v>
      </c>
      <c r="B61" s="516"/>
      <c r="C61" s="517"/>
      <c r="D61" s="518"/>
      <c r="E61" s="518"/>
      <c r="F61" s="518"/>
      <c r="G61" s="518"/>
      <c r="H61" s="518"/>
      <c r="I61" s="518"/>
      <c r="J61" s="518"/>
      <c r="K61" s="518"/>
      <c r="L61" s="518"/>
      <c r="M61" s="519"/>
      <c r="N61" s="518"/>
      <c r="O61" s="519"/>
      <c r="P61" s="2681"/>
      <c r="Q61" s="504"/>
    </row>
    <row r="62" spans="1:29" s="117" customFormat="1" ht="15">
      <c r="A62" s="521" t="s">
        <v>2543</v>
      </c>
      <c r="B62" s="510"/>
      <c r="C62" s="522" t="s">
        <v>2645</v>
      </c>
      <c r="D62" s="523"/>
      <c r="E62" s="523"/>
      <c r="F62" s="523"/>
      <c r="G62" s="523"/>
      <c r="H62" s="523"/>
      <c r="I62" s="523"/>
      <c r="J62" s="523"/>
      <c r="K62" s="523"/>
      <c r="L62" s="524"/>
      <c r="M62" s="525"/>
      <c r="N62" s="1151"/>
      <c r="O62" s="1151"/>
      <c r="P62" s="2682"/>
      <c r="Q62" s="504"/>
    </row>
    <row r="63" spans="1:29" s="117" customFormat="1" ht="15.75" thickBot="1">
      <c r="A63" s="521"/>
      <c r="B63" s="510"/>
      <c r="C63" s="511">
        <v>100</v>
      </c>
      <c r="D63" s="512"/>
      <c r="E63" s="512"/>
      <c r="F63" s="512"/>
      <c r="G63" s="512"/>
      <c r="H63" s="512"/>
      <c r="I63" s="512"/>
      <c r="J63" s="512"/>
      <c r="K63" s="512"/>
      <c r="L63" s="512"/>
      <c r="M63" s="514"/>
      <c r="N63" s="1151"/>
      <c r="O63" s="1151"/>
      <c r="P63" s="2681"/>
      <c r="Q63" s="504"/>
    </row>
    <row r="64" spans="1:29">
      <c r="A64" s="527" t="s">
        <v>2581</v>
      </c>
      <c r="B64" s="528" t="s">
        <v>2547</v>
      </c>
      <c r="C64" s="529">
        <f>C9</f>
        <v>0</v>
      </c>
      <c r="D64" s="530"/>
      <c r="E64" s="530"/>
      <c r="F64" s="530"/>
      <c r="G64" s="530"/>
      <c r="H64" s="530"/>
      <c r="I64" s="530"/>
      <c r="J64" s="530"/>
      <c r="K64" s="531"/>
      <c r="L64" s="532"/>
      <c r="M64" s="533"/>
      <c r="N64" s="1152"/>
      <c r="O64" s="1152"/>
      <c r="P64" s="2683"/>
      <c r="Q64" s="504"/>
    </row>
    <row r="65" spans="1:17" ht="15.75" thickBot="1">
      <c r="A65" s="534"/>
      <c r="B65" s="535"/>
      <c r="C65" s="536">
        <v>100</v>
      </c>
      <c r="D65" s="536"/>
      <c r="E65" s="536"/>
      <c r="F65" s="536"/>
      <c r="G65" s="536"/>
      <c r="H65" s="536"/>
      <c r="I65" s="536"/>
      <c r="J65" s="536"/>
      <c r="K65" s="536"/>
      <c r="L65" s="536"/>
      <c r="M65" s="537"/>
      <c r="N65" s="1153"/>
      <c r="O65" s="1153"/>
      <c r="P65" s="2683"/>
      <c r="Q65" s="504"/>
    </row>
    <row r="66" spans="1:17" ht="27.75" thickTop="1">
      <c r="A66" s="534"/>
      <c r="B66" s="538" t="s">
        <v>2550</v>
      </c>
      <c r="C66" s="539" t="s">
        <v>2582</v>
      </c>
      <c r="D66" s="539" t="s">
        <v>2583</v>
      </c>
      <c r="E66" s="539" t="s">
        <v>2584</v>
      </c>
      <c r="F66" s="539" t="s">
        <v>2585</v>
      </c>
      <c r="G66" s="539" t="s">
        <v>2586</v>
      </c>
      <c r="H66" s="539" t="s">
        <v>2587</v>
      </c>
      <c r="I66" s="539" t="s">
        <v>2588</v>
      </c>
      <c r="J66" s="539"/>
      <c r="K66" s="540"/>
      <c r="L66" s="541"/>
      <c r="M66" s="542"/>
      <c r="N66" s="1152"/>
      <c r="O66" s="1152"/>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3"/>
      <c r="Q67" s="504"/>
    </row>
    <row r="68" spans="1:17" ht="15.75" thickTop="1">
      <c r="A68" s="534"/>
      <c r="B68" s="546" t="s">
        <v>2551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3"/>
      <c r="Q68" s="504"/>
    </row>
    <row r="69" spans="1:17" ht="15">
      <c r="A69" s="534"/>
      <c r="B69" s="548"/>
      <c r="C69" s="549"/>
      <c r="D69" s="549"/>
      <c r="E69" s="549"/>
      <c r="F69" s="549"/>
      <c r="G69" s="549"/>
      <c r="H69" s="549"/>
      <c r="I69" s="549"/>
      <c r="J69" s="549"/>
      <c r="K69" s="550"/>
      <c r="L69" s="551"/>
      <c r="M69" s="552"/>
      <c r="N69" s="1152"/>
      <c r="O69" s="1152"/>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3"/>
      <c r="Q70" s="504"/>
    </row>
    <row r="71" spans="1:17" s="471" customFormat="1" ht="15.75" thickTop="1">
      <c r="A71" s="553"/>
      <c r="B71" s="538">
        <f>B12</f>
        <v>111</v>
      </c>
      <c r="C71" s="554"/>
      <c r="D71" s="554"/>
      <c r="E71" s="554"/>
      <c r="F71" s="554"/>
      <c r="G71" s="554"/>
      <c r="H71" s="555"/>
      <c r="I71" s="555"/>
      <c r="J71" s="555"/>
      <c r="K71" s="555"/>
      <c r="L71" s="556"/>
      <c r="M71" s="557"/>
      <c r="N71" s="1154"/>
      <c r="O71" s="1154"/>
      <c r="P71" s="2684"/>
      <c r="Q71" s="559"/>
    </row>
    <row r="72" spans="1:17" s="471" customFormat="1" ht="15.75" thickBot="1">
      <c r="A72" s="553"/>
      <c r="B72" s="543"/>
      <c r="C72" s="560"/>
      <c r="D72" s="536"/>
      <c r="E72" s="536"/>
      <c r="F72" s="536"/>
      <c r="G72" s="536"/>
      <c r="H72" s="536"/>
      <c r="I72" s="536"/>
      <c r="J72" s="536"/>
      <c r="K72" s="536"/>
      <c r="L72" s="536"/>
      <c r="M72" s="537"/>
      <c r="N72" s="1153"/>
      <c r="O72" s="1153"/>
      <c r="P72" s="2684"/>
      <c r="Q72" s="559"/>
    </row>
    <row r="73" spans="1:17" s="471" customFormat="1" ht="15.75" thickTop="1">
      <c r="A73" s="553"/>
      <c r="B73" s="538">
        <f>B13</f>
        <v>111</v>
      </c>
      <c r="C73" s="554"/>
      <c r="D73" s="554"/>
      <c r="E73" s="554"/>
      <c r="F73" s="554"/>
      <c r="G73" s="554"/>
      <c r="H73" s="555"/>
      <c r="I73" s="555"/>
      <c r="J73" s="555"/>
      <c r="K73" s="555"/>
      <c r="L73" s="556"/>
      <c r="M73" s="557"/>
      <c r="N73" s="1154"/>
      <c r="O73" s="1154"/>
      <c r="P73" s="2685"/>
      <c r="Q73" s="561"/>
    </row>
    <row r="74" spans="1:17" s="471" customFormat="1" ht="15.75" thickBot="1">
      <c r="A74" s="553"/>
      <c r="B74" s="543"/>
      <c r="C74" s="560"/>
      <c r="D74" s="560"/>
      <c r="E74" s="560"/>
      <c r="F74" s="560"/>
      <c r="G74" s="560"/>
      <c r="H74" s="562"/>
      <c r="I74" s="562"/>
      <c r="J74" s="562"/>
      <c r="K74" s="562"/>
      <c r="L74" s="562"/>
      <c r="M74" s="563"/>
      <c r="N74" s="1154"/>
      <c r="O74" s="1154"/>
      <c r="P74" s="2684"/>
      <c r="Q74" s="559"/>
    </row>
    <row r="75" spans="1:17" s="471" customFormat="1" ht="15.75" thickTop="1">
      <c r="A75" s="553"/>
      <c r="B75" s="546">
        <f>B14</f>
        <v>111</v>
      </c>
      <c r="C75" s="523"/>
      <c r="D75" s="523"/>
      <c r="E75" s="523"/>
      <c r="F75" s="523"/>
      <c r="G75" s="523"/>
      <c r="H75" s="564"/>
      <c r="I75" s="564"/>
      <c r="J75" s="564"/>
      <c r="K75" s="564"/>
      <c r="L75" s="565"/>
      <c r="M75" s="566"/>
      <c r="N75" s="1154"/>
      <c r="O75" s="1154"/>
      <c r="P75" s="2686"/>
      <c r="Q75" s="559"/>
    </row>
    <row r="76" spans="1:17" s="471" customFormat="1" ht="15.75" thickBot="1">
      <c r="A76" s="568"/>
      <c r="B76" s="569"/>
      <c r="C76" s="570"/>
      <c r="D76" s="570"/>
      <c r="E76" s="570"/>
      <c r="F76" s="570"/>
      <c r="G76" s="570"/>
      <c r="H76" s="571"/>
      <c r="I76" s="571"/>
      <c r="J76" s="571"/>
      <c r="K76" s="571"/>
      <c r="L76" s="571"/>
      <c r="M76" s="572"/>
      <c r="N76" s="1154"/>
      <c r="O76" s="1154"/>
      <c r="P76" s="2684"/>
      <c r="Q76" s="559"/>
    </row>
    <row r="77" spans="1:17">
      <c r="A77" s="527" t="s">
        <v>2552</v>
      </c>
      <c r="B77" s="528" t="s">
        <v>2690</v>
      </c>
      <c r="C77" s="573" t="s">
        <v>2590</v>
      </c>
      <c r="D77" s="573" t="s">
        <v>2591</v>
      </c>
      <c r="E77" s="573" t="s">
        <v>2592</v>
      </c>
      <c r="F77" s="573" t="s">
        <v>2593</v>
      </c>
      <c r="G77" s="573" t="s">
        <v>2594</v>
      </c>
      <c r="H77" s="529"/>
      <c r="I77" s="529"/>
      <c r="J77" s="529"/>
      <c r="K77" s="574"/>
      <c r="L77" s="575"/>
      <c r="M77" s="576"/>
      <c r="N77" s="1152"/>
      <c r="O77" s="1152"/>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3"/>
      <c r="Q78" s="504"/>
    </row>
    <row r="79" spans="1:17" ht="15.75" thickTop="1">
      <c r="A79" s="534"/>
      <c r="B79" s="538" t="s">
        <v>2595</v>
      </c>
      <c r="C79" s="578" t="s">
        <v>2590</v>
      </c>
      <c r="D79" s="578" t="s">
        <v>2591</v>
      </c>
      <c r="E79" s="578" t="s">
        <v>2592</v>
      </c>
      <c r="F79" s="578" t="s">
        <v>2593</v>
      </c>
      <c r="G79" s="578" t="s">
        <v>2594</v>
      </c>
      <c r="H79" s="539"/>
      <c r="I79" s="539"/>
      <c r="J79" s="539"/>
      <c r="K79" s="540"/>
      <c r="L79" s="541"/>
      <c r="M79" s="542"/>
      <c r="N79" s="1152"/>
      <c r="O79" s="1152"/>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3"/>
      <c r="Q80" s="504"/>
    </row>
    <row r="81" spans="1:17" ht="15.75" thickTop="1">
      <c r="A81" s="534"/>
      <c r="B81" s="538" t="s">
        <v>2596</v>
      </c>
      <c r="C81" s="578" t="s">
        <v>2590</v>
      </c>
      <c r="D81" s="578" t="s">
        <v>2591</v>
      </c>
      <c r="E81" s="578" t="s">
        <v>2592</v>
      </c>
      <c r="F81" s="578" t="s">
        <v>2593</v>
      </c>
      <c r="G81" s="578" t="s">
        <v>2594</v>
      </c>
      <c r="H81" s="539"/>
      <c r="I81" s="539"/>
      <c r="J81" s="539"/>
      <c r="K81" s="540"/>
      <c r="L81" s="541"/>
      <c r="M81" s="542"/>
      <c r="N81" s="1152"/>
      <c r="O81" s="1152"/>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3"/>
      <c r="Q82" s="504"/>
    </row>
    <row r="83" spans="1:17" ht="15.75" thickTop="1">
      <c r="A83" s="534"/>
      <c r="B83" s="546" t="s">
        <v>2682</v>
      </c>
      <c r="C83" s="660" t="s">
        <v>2668</v>
      </c>
      <c r="D83" s="660" t="s">
        <v>2669</v>
      </c>
      <c r="E83" s="660" t="s">
        <v>2670</v>
      </c>
      <c r="F83" s="660" t="s">
        <v>2671</v>
      </c>
      <c r="G83" s="660" t="s">
        <v>2672</v>
      </c>
      <c r="H83" s="539"/>
      <c r="I83" s="539"/>
      <c r="J83" s="539"/>
      <c r="K83" s="539"/>
      <c r="L83" s="539"/>
      <c r="M83" s="1382"/>
      <c r="N83" s="1153"/>
      <c r="O83" s="1153"/>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3"/>
      <c r="Q84" s="504"/>
    </row>
    <row r="85" spans="1:17" ht="15.75" thickTop="1">
      <c r="A85" s="534"/>
      <c r="B85" s="538" t="s">
        <v>2691</v>
      </c>
      <c r="C85" s="578" t="s">
        <v>2590</v>
      </c>
      <c r="D85" s="578" t="s">
        <v>2591</v>
      </c>
      <c r="E85" s="578" t="s">
        <v>2592</v>
      </c>
      <c r="F85" s="578" t="s">
        <v>2593</v>
      </c>
      <c r="G85" s="578" t="s">
        <v>2594</v>
      </c>
      <c r="H85" s="539"/>
      <c r="I85" s="539"/>
      <c r="J85" s="539"/>
      <c r="K85" s="540"/>
      <c r="L85" s="541"/>
      <c r="M85" s="542"/>
      <c r="N85" s="1152"/>
      <c r="O85" s="1152"/>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3"/>
      <c r="Q86" s="504"/>
    </row>
    <row r="87" spans="1:17" s="117" customFormat="1" ht="27.75" thickTop="1">
      <c r="A87" s="579"/>
      <c r="B87" s="538" t="s">
        <v>2692</v>
      </c>
      <c r="C87" s="554"/>
      <c r="D87" s="554"/>
      <c r="E87" s="554"/>
      <c r="F87" s="554"/>
      <c r="G87" s="554"/>
      <c r="H87" s="554"/>
      <c r="I87" s="554"/>
      <c r="J87" s="554"/>
      <c r="K87" s="554"/>
      <c r="L87" s="580"/>
      <c r="M87" s="581"/>
      <c r="N87" s="1151"/>
      <c r="O87" s="1151"/>
      <c r="P87" s="268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3"/>
      <c r="Q88" s="504"/>
    </row>
    <row r="89" spans="1:17" s="117" customFormat="1" ht="15.75" thickTop="1">
      <c r="A89" s="579"/>
      <c r="B89" s="538" t="str">
        <f>B27</f>
        <v>楼层</v>
      </c>
      <c r="C89" s="554"/>
      <c r="D89" s="554"/>
      <c r="E89" s="554"/>
      <c r="F89" s="2634"/>
      <c r="G89" s="554"/>
      <c r="H89" s="554"/>
      <c r="I89" s="554"/>
      <c r="J89" s="554"/>
      <c r="K89" s="554"/>
      <c r="L89" s="554"/>
      <c r="M89" s="581"/>
      <c r="N89" s="1151"/>
      <c r="O89" s="1151"/>
      <c r="P89" s="268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3"/>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4"/>
      <c r="Q92" s="559"/>
    </row>
    <row r="93" spans="1:17" ht="15.75" thickTop="1">
      <c r="A93" s="534"/>
      <c r="B93" s="538">
        <f>B29</f>
        <v>111</v>
      </c>
      <c r="C93" s="554"/>
      <c r="D93" s="554"/>
      <c r="E93" s="554"/>
      <c r="F93" s="554"/>
      <c r="G93" s="554"/>
      <c r="H93" s="554"/>
      <c r="I93" s="554"/>
      <c r="J93" s="554"/>
      <c r="K93" s="554"/>
      <c r="L93" s="580"/>
      <c r="M93" s="581"/>
      <c r="N93" s="1152"/>
      <c r="O93" s="1152"/>
      <c r="P93" s="2683"/>
      <c r="Q93" s="504"/>
    </row>
    <row r="94" spans="1:17" ht="15.75" thickBot="1">
      <c r="A94" s="534"/>
      <c r="B94" s="543"/>
      <c r="C94" s="560"/>
      <c r="D94" s="536"/>
      <c r="E94" s="536"/>
      <c r="F94" s="536"/>
      <c r="G94" s="536"/>
      <c r="H94" s="536"/>
      <c r="I94" s="536"/>
      <c r="J94" s="536"/>
      <c r="K94" s="536"/>
      <c r="L94" s="536"/>
      <c r="M94" s="537"/>
      <c r="N94" s="1153"/>
      <c r="O94" s="1153"/>
      <c r="P94" s="2683"/>
      <c r="Q94" s="504"/>
    </row>
    <row r="95" spans="1:17" ht="15.75" thickTop="1">
      <c r="A95" s="534"/>
      <c r="B95" s="538">
        <f>B30</f>
        <v>111</v>
      </c>
      <c r="C95" s="554"/>
      <c r="D95" s="554"/>
      <c r="E95" s="554"/>
      <c r="F95" s="554"/>
      <c r="G95" s="583"/>
      <c r="H95" s="583"/>
      <c r="I95" s="583"/>
      <c r="J95" s="583"/>
      <c r="K95" s="584"/>
      <c r="L95" s="585"/>
      <c r="M95" s="586"/>
      <c r="N95" s="1152"/>
      <c r="O95" s="1152"/>
      <c r="P95" s="2683"/>
      <c r="Q95" s="504"/>
    </row>
    <row r="96" spans="1:17" ht="15.75" thickBot="1">
      <c r="A96" s="534"/>
      <c r="B96" s="543"/>
      <c r="C96" s="560"/>
      <c r="D96" s="560"/>
      <c r="E96" s="560"/>
      <c r="F96" s="560"/>
      <c r="G96" s="536"/>
      <c r="H96" s="536"/>
      <c r="I96" s="536"/>
      <c r="J96" s="536"/>
      <c r="K96" s="536"/>
      <c r="L96" s="536"/>
      <c r="M96" s="537"/>
      <c r="N96" s="1153"/>
      <c r="O96" s="1153"/>
      <c r="P96" s="2683"/>
      <c r="Q96" s="504"/>
    </row>
    <row r="97" spans="1:17" ht="15.75" thickTop="1">
      <c r="A97" s="534"/>
      <c r="B97" s="538">
        <f>B31</f>
        <v>111</v>
      </c>
      <c r="C97" s="554"/>
      <c r="D97" s="554"/>
      <c r="E97" s="554"/>
      <c r="F97" s="554"/>
      <c r="G97" s="583"/>
      <c r="H97" s="583"/>
      <c r="I97" s="583"/>
      <c r="J97" s="583"/>
      <c r="K97" s="584"/>
      <c r="L97" s="585"/>
      <c r="M97" s="586"/>
      <c r="N97" s="1152"/>
      <c r="O97" s="1152"/>
      <c r="P97" s="2683"/>
      <c r="Q97" s="504"/>
    </row>
    <row r="98" spans="1:17" ht="15.75" thickBot="1">
      <c r="A98" s="534"/>
      <c r="B98" s="543"/>
      <c r="C98" s="560"/>
      <c r="D98" s="536"/>
      <c r="E98" s="536"/>
      <c r="F98" s="536"/>
      <c r="G98" s="536"/>
      <c r="H98" s="536"/>
      <c r="I98" s="536"/>
      <c r="J98" s="536"/>
      <c r="K98" s="536"/>
      <c r="L98" s="536"/>
      <c r="M98" s="537"/>
      <c r="N98" s="1153"/>
      <c r="O98" s="1153"/>
      <c r="P98" s="2683"/>
      <c r="Q98" s="504"/>
    </row>
    <row r="99" spans="1:17" ht="15.75" thickTop="1">
      <c r="A99" s="534"/>
      <c r="B99" s="546">
        <f>B32</f>
        <v>111</v>
      </c>
      <c r="C99" s="523"/>
      <c r="D99" s="523"/>
      <c r="E99" s="523"/>
      <c r="F99" s="523"/>
      <c r="G99" s="587"/>
      <c r="H99" s="587"/>
      <c r="I99" s="587"/>
      <c r="J99" s="587"/>
      <c r="K99" s="588"/>
      <c r="L99" s="589"/>
      <c r="M99" s="590"/>
      <c r="N99" s="1152"/>
      <c r="O99" s="1152"/>
      <c r="P99" s="2683"/>
      <c r="Q99" s="504"/>
    </row>
    <row r="100" spans="1:17" ht="15.75" thickBot="1">
      <c r="A100" s="2635"/>
      <c r="B100" s="569"/>
      <c r="C100" s="570"/>
      <c r="D100" s="570"/>
      <c r="E100" s="570"/>
      <c r="F100" s="570"/>
      <c r="G100" s="591"/>
      <c r="H100" s="591"/>
      <c r="I100" s="591"/>
      <c r="J100" s="591"/>
      <c r="K100" s="591"/>
      <c r="L100" s="591"/>
      <c r="M100" s="592"/>
      <c r="N100" s="1153"/>
      <c r="O100" s="1153"/>
      <c r="P100" s="2683"/>
      <c r="Q100" s="504"/>
    </row>
    <row r="101" spans="1:17">
      <c r="A101" s="527" t="s">
        <v>2556</v>
      </c>
      <c r="B101" s="528" t="s">
        <v>2605</v>
      </c>
      <c r="C101" s="530"/>
      <c r="D101" s="530"/>
      <c r="E101" s="530"/>
      <c r="F101" s="530"/>
      <c r="G101" s="530"/>
      <c r="H101" s="530"/>
      <c r="I101" s="530"/>
      <c r="J101" s="530"/>
      <c r="K101" s="531"/>
      <c r="L101" s="532"/>
      <c r="M101" s="533"/>
      <c r="N101" s="1152"/>
      <c r="O101" s="1152"/>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3"/>
      <c r="Q102" s="504"/>
    </row>
    <row r="103" spans="1:17" ht="15.75" thickTop="1">
      <c r="A103" s="534"/>
      <c r="B103" s="538" t="s">
        <v>2606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3"/>
      <c r="Q103" s="504"/>
    </row>
    <row r="104" spans="1:17" s="471" customFormat="1">
      <c r="A104" s="593"/>
      <c r="B104" s="594"/>
      <c r="C104" s="595"/>
      <c r="D104" s="595"/>
      <c r="E104" s="595"/>
      <c r="F104" s="595"/>
      <c r="G104" s="595"/>
      <c r="H104" s="595"/>
      <c r="I104" s="595"/>
      <c r="J104" s="596"/>
      <c r="K104" s="596"/>
      <c r="L104" s="597"/>
      <c r="M104" s="598"/>
      <c r="N104" s="1154"/>
      <c r="O104" s="1154"/>
      <c r="P104" s="2684"/>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4"/>
      <c r="Q105" s="559"/>
    </row>
    <row r="106" spans="1:17" ht="15" thickTop="1">
      <c r="A106" s="599"/>
      <c r="B106" s="538" t="s">
        <v>2607</v>
      </c>
      <c r="C106" s="554"/>
      <c r="D106" s="554"/>
      <c r="E106" s="583"/>
      <c r="F106" s="583"/>
      <c r="G106" s="583"/>
      <c r="H106" s="583"/>
      <c r="I106" s="583"/>
      <c r="J106" s="583"/>
      <c r="K106" s="584"/>
      <c r="L106" s="585"/>
      <c r="M106" s="586"/>
      <c r="N106" s="1152"/>
      <c r="O106" s="1152"/>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3"/>
      <c r="Q107" s="504"/>
    </row>
    <row r="108" spans="1:17" ht="15" thickTop="1">
      <c r="A108" s="599"/>
      <c r="B108" s="538" t="s">
        <v>2609</v>
      </c>
      <c r="C108" s="554"/>
      <c r="D108" s="554"/>
      <c r="E108" s="554"/>
      <c r="F108" s="583"/>
      <c r="G108" s="583"/>
      <c r="H108" s="583"/>
      <c r="I108" s="583"/>
      <c r="J108" s="583"/>
      <c r="K108" s="584"/>
      <c r="L108" s="585"/>
      <c r="M108" s="586"/>
      <c r="N108" s="1152"/>
      <c r="O108" s="1152"/>
      <c r="P108" s="268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3"/>
      <c r="Q109" s="504"/>
    </row>
    <row r="110" spans="1:17" ht="15" thickTop="1">
      <c r="A110" s="599"/>
      <c r="B110" s="538" t="s">
        <v>1989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3"/>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3"/>
      <c r="Q112" s="504"/>
    </row>
    <row r="113" spans="1:17" s="471" customFormat="1" ht="15" thickTop="1">
      <c r="A113" s="593"/>
      <c r="B113" s="538" t="s">
        <v>2693</v>
      </c>
      <c r="C113" s="554"/>
      <c r="D113" s="554"/>
      <c r="E113" s="554"/>
      <c r="F113" s="554"/>
      <c r="G113" s="554"/>
      <c r="H113" s="583"/>
      <c r="I113" s="583"/>
      <c r="J113" s="583"/>
      <c r="K113" s="584"/>
      <c r="L113" s="585"/>
      <c r="M113" s="586"/>
      <c r="N113" s="1154"/>
      <c r="O113" s="1154"/>
      <c r="P113" s="268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4"/>
      <c r="Q114" s="559"/>
    </row>
    <row r="115" spans="1:17" ht="15" thickTop="1">
      <c r="A115" s="599"/>
      <c r="B115" s="538" t="s">
        <v>2610</v>
      </c>
      <c r="C115" s="554"/>
      <c r="D115" s="554"/>
      <c r="E115" s="583"/>
      <c r="F115" s="583"/>
      <c r="G115" s="583"/>
      <c r="H115" s="583"/>
      <c r="I115" s="583"/>
      <c r="J115" s="583"/>
      <c r="K115" s="584"/>
      <c r="L115" s="585"/>
      <c r="M115" s="586"/>
      <c r="N115" s="1152"/>
      <c r="O115" s="1152"/>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3"/>
      <c r="Q116" s="504"/>
    </row>
    <row r="117" spans="1:17" ht="15" thickTop="1">
      <c r="A117" s="599"/>
      <c r="B117" s="538" t="s">
        <v>2611</v>
      </c>
      <c r="C117" s="554"/>
      <c r="D117" s="554"/>
      <c r="E117" s="554"/>
      <c r="F117" s="554"/>
      <c r="G117" s="554"/>
      <c r="H117" s="583"/>
      <c r="I117" s="583"/>
      <c r="J117" s="583"/>
      <c r="K117" s="584"/>
      <c r="L117" s="585"/>
      <c r="M117" s="586"/>
      <c r="N117" s="1152"/>
      <c r="O117" s="1152"/>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3"/>
      <c r="Q118" s="504"/>
    </row>
    <row r="119" spans="1:17" ht="15" thickTop="1">
      <c r="A119" s="599"/>
      <c r="B119" s="636" t="s">
        <v>2694</v>
      </c>
      <c r="C119" s="583"/>
      <c r="D119" s="583"/>
      <c r="E119" s="583"/>
      <c r="F119" s="583"/>
      <c r="G119" s="583"/>
      <c r="H119" s="583"/>
      <c r="I119" s="583"/>
      <c r="J119" s="583"/>
      <c r="K119" s="583"/>
      <c r="L119" s="2688"/>
      <c r="M119" s="2689"/>
      <c r="N119" s="1153"/>
      <c r="O119" s="1153"/>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3"/>
      <c r="Q120" s="504"/>
    </row>
    <row r="121" spans="1:17" s="471" customFormat="1" ht="15" thickTop="1">
      <c r="A121" s="593"/>
      <c r="B121" s="538" t="s">
        <v>2677</v>
      </c>
      <c r="C121" s="554"/>
      <c r="D121" s="554"/>
      <c r="E121" s="554"/>
      <c r="F121" s="583"/>
      <c r="G121" s="555"/>
      <c r="H121" s="555"/>
      <c r="I121" s="555"/>
      <c r="J121" s="555"/>
      <c r="K121" s="555"/>
      <c r="L121" s="556"/>
      <c r="M121" s="557"/>
      <c r="N121" s="1154"/>
      <c r="O121" s="1154"/>
      <c r="P121" s="2684"/>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4"/>
      <c r="Q122" s="559"/>
    </row>
    <row r="123" spans="1:17" ht="15" thickTop="1">
      <c r="A123" s="599"/>
      <c r="B123" s="538" t="s">
        <v>2613</v>
      </c>
      <c r="C123" s="554"/>
      <c r="D123" s="554"/>
      <c r="E123" s="554"/>
      <c r="F123" s="583"/>
      <c r="G123" s="583"/>
      <c r="H123" s="583"/>
      <c r="I123" s="583"/>
      <c r="J123" s="583"/>
      <c r="K123" s="584"/>
      <c r="L123" s="585"/>
      <c r="M123" s="586"/>
      <c r="N123" s="1152"/>
      <c r="O123" s="1152"/>
      <c r="P123" s="268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3"/>
      <c r="Q124" s="504"/>
    </row>
    <row r="125" spans="1:17" ht="15" thickTop="1">
      <c r="A125" s="599"/>
      <c r="B125" s="538" t="s">
        <v>2614</v>
      </c>
      <c r="C125" s="578" t="s">
        <v>2590</v>
      </c>
      <c r="D125" s="578" t="s">
        <v>2591</v>
      </c>
      <c r="E125" s="578" t="s">
        <v>2592</v>
      </c>
      <c r="F125" s="578" t="s">
        <v>2593</v>
      </c>
      <c r="G125" s="578" t="s">
        <v>2594</v>
      </c>
      <c r="H125" s="539"/>
      <c r="I125" s="539"/>
      <c r="J125" s="539"/>
      <c r="K125" s="540"/>
      <c r="L125" s="541"/>
      <c r="M125" s="542"/>
      <c r="N125" s="1152"/>
      <c r="O125" s="1152"/>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3"/>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4"/>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4"/>
      <c r="Q128" s="559"/>
    </row>
    <row r="129" spans="1:17" ht="15" thickTop="1">
      <c r="A129" s="599"/>
      <c r="B129" s="538">
        <f>B46</f>
        <v>111</v>
      </c>
      <c r="C129" s="554"/>
      <c r="D129" s="554"/>
      <c r="E129" s="554"/>
      <c r="F129" s="554"/>
      <c r="G129" s="583"/>
      <c r="H129" s="583"/>
      <c r="I129" s="583"/>
      <c r="J129" s="583"/>
      <c r="K129" s="584"/>
      <c r="L129" s="585"/>
      <c r="M129" s="586"/>
      <c r="N129" s="1152"/>
      <c r="O129" s="1152"/>
      <c r="P129" s="2683"/>
      <c r="Q129" s="504"/>
    </row>
    <row r="130" spans="1:17" ht="15.75" thickBot="1">
      <c r="A130" s="534"/>
      <c r="B130" s="543"/>
      <c r="C130" s="560"/>
      <c r="D130" s="560"/>
      <c r="E130" s="560"/>
      <c r="F130" s="560"/>
      <c r="G130" s="536"/>
      <c r="H130" s="536"/>
      <c r="I130" s="536"/>
      <c r="J130" s="536"/>
      <c r="K130" s="536"/>
      <c r="L130" s="536"/>
      <c r="M130" s="537"/>
      <c r="N130" s="1153"/>
      <c r="O130" s="1153"/>
      <c r="P130" s="2683"/>
      <c r="Q130" s="504"/>
    </row>
    <row r="131" spans="1:17" ht="15" thickTop="1">
      <c r="A131" s="599"/>
      <c r="B131" s="546">
        <f>B47</f>
        <v>111</v>
      </c>
      <c r="C131" s="523"/>
      <c r="D131" s="523"/>
      <c r="E131" s="523"/>
      <c r="F131" s="523"/>
      <c r="G131" s="587"/>
      <c r="H131" s="587"/>
      <c r="I131" s="587"/>
      <c r="J131" s="587"/>
      <c r="K131" s="523"/>
      <c r="L131" s="524"/>
      <c r="M131" s="590"/>
      <c r="N131" s="1152"/>
      <c r="O131" s="1152"/>
      <c r="P131" s="2683"/>
      <c r="Q131" s="504"/>
    </row>
    <row r="132" spans="1:17" ht="15.75" thickBot="1">
      <c r="A132" s="2635"/>
      <c r="B132" s="569"/>
      <c r="C132" s="570"/>
      <c r="D132" s="570"/>
      <c r="E132" s="570"/>
      <c r="F132" s="570"/>
      <c r="G132" s="591"/>
      <c r="H132" s="591"/>
      <c r="I132" s="591"/>
      <c r="J132" s="591"/>
      <c r="K132" s="591"/>
      <c r="L132" s="591"/>
      <c r="M132" s="592"/>
      <c r="N132" s="1153"/>
      <c r="O132" s="1153"/>
      <c r="P132" s="2683"/>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4" zoomScale="90" zoomScaleNormal="90" workbookViewId="0">
      <selection activeCell="E15" sqref="E1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2521</v>
      </c>
      <c r="B1" s="2668" t="s">
        <v>2695</v>
      </c>
      <c r="C1" s="1620" t="s">
        <v>2523</v>
      </c>
      <c r="D1" s="1621"/>
      <c r="E1" s="1630"/>
      <c r="F1" s="2583"/>
      <c r="G1" s="1631" t="s">
        <v>2636</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2320</v>
      </c>
      <c r="B2" s="1418" t="e">
        <f ca="1">IF(C2="——",ROUND(C43*D3/10000,0),ROUND(C43*D3/10000,0)-D2)</f>
        <v>#DIV/0!</v>
      </c>
      <c r="C2" s="2585"/>
      <c r="D2" s="1124" t="e">
        <f ca="1">SUMIF(INDIRECT("'"&amp;F2&amp;"'"&amp;"!A:A"),"承租人权益价值",INDIRECT("'"&amp;F2&amp;"'"&amp;"!c:c"))</f>
        <v>#REF!</v>
      </c>
      <c r="E2" s="2586" t="s">
        <v>2321</v>
      </c>
      <c r="F2" s="2587"/>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2322</v>
      </c>
      <c r="B3" s="609" t="e">
        <f ca="1">IF(C2="——",C43,ROUND(B2*10000/D3,0))</f>
        <v>#DIV/0!</v>
      </c>
      <c r="C3" s="400" t="s">
        <v>2637</v>
      </c>
      <c r="D3" s="399">
        <f>IF(D1="",'数据-汇总表'!E3,SUMIF('数据-汇总表'!$C19:$C33,D1,'数据-汇总表'!$E19:$E33))</f>
        <v>193040.62000000002</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2638</v>
      </c>
      <c r="B4" s="402"/>
      <c r="C4" s="3358" t="s">
        <v>2639</v>
      </c>
      <c r="D4" s="3359"/>
      <c r="E4" s="3360" t="s">
        <v>2640</v>
      </c>
      <c r="F4" s="3361"/>
      <c r="G4" s="3358" t="s">
        <v>2641</v>
      </c>
      <c r="H4" s="3359"/>
      <c r="I4" s="3358" t="s">
        <v>2642</v>
      </c>
      <c r="J4" s="3359"/>
      <c r="K4" s="610" t="s">
        <v>2643</v>
      </c>
      <c r="L4" s="1130"/>
      <c r="M4" s="1131"/>
      <c r="N4" s="1131"/>
      <c r="O4" s="1131"/>
      <c r="P4" s="3362" t="s">
        <v>2644</v>
      </c>
      <c r="Q4" s="3363"/>
      <c r="R4" s="3375" t="s">
        <v>2640</v>
      </c>
      <c r="S4" s="3376"/>
      <c r="T4" s="3375" t="s">
        <v>2641</v>
      </c>
      <c r="U4" s="3376"/>
      <c r="V4" s="3350" t="s">
        <v>2642</v>
      </c>
      <c r="W4" s="3350"/>
      <c r="X4" s="1813"/>
      <c r="Y4" s="3375" t="s">
        <v>2644</v>
      </c>
      <c r="Z4" s="3376"/>
      <c r="AA4" s="3355" t="s">
        <v>2640</v>
      </c>
      <c r="AB4" s="3356" t="s">
        <v>2641</v>
      </c>
      <c r="AC4" s="3355" t="s">
        <v>2642</v>
      </c>
    </row>
    <row r="5" spans="1:29" ht="15">
      <c r="A5" s="404"/>
      <c r="B5" s="405"/>
      <c r="C5" s="3379" t="s">
        <v>2535</v>
      </c>
      <c r="D5" s="3380"/>
      <c r="E5" s="3368" t="s">
        <v>2536</v>
      </c>
      <c r="F5" s="3369"/>
      <c r="G5" s="3379" t="s">
        <v>2537</v>
      </c>
      <c r="H5" s="3380"/>
      <c r="I5" s="3379" t="s">
        <v>2538</v>
      </c>
      <c r="J5" s="3380"/>
      <c r="K5" s="610"/>
      <c r="L5" s="1130"/>
      <c r="M5" s="1131"/>
      <c r="N5" s="1131"/>
      <c r="O5" s="1131"/>
      <c r="P5" s="3364"/>
      <c r="Q5" s="3365"/>
      <c r="R5" s="3377"/>
      <c r="S5" s="3378"/>
      <c r="T5" s="3377"/>
      <c r="U5" s="3378"/>
      <c r="V5" s="3350"/>
      <c r="W5" s="3350"/>
      <c r="X5" s="1813"/>
      <c r="Y5" s="3377"/>
      <c r="Z5" s="3378"/>
      <c r="AA5" s="3356"/>
      <c r="AB5" s="3356"/>
      <c r="AC5" s="3356"/>
    </row>
    <row r="6" spans="1:29" ht="15.75" thickBot="1">
      <c r="A6" s="406"/>
      <c r="B6" s="407"/>
      <c r="C6" s="3420" t="s">
        <v>2539</v>
      </c>
      <c r="D6" s="3421"/>
      <c r="E6" s="3422" t="s">
        <v>2539</v>
      </c>
      <c r="F6" s="3423"/>
      <c r="G6" s="3420" t="s">
        <v>2539</v>
      </c>
      <c r="H6" s="3421"/>
      <c r="I6" s="3420" t="s">
        <v>2539</v>
      </c>
      <c r="J6" s="3421"/>
      <c r="K6" s="610" t="s">
        <v>2540</v>
      </c>
      <c r="L6" s="1130"/>
      <c r="M6" s="1131"/>
      <c r="N6" s="1131"/>
      <c r="O6" s="1131"/>
      <c r="P6" s="3366"/>
      <c r="Q6" s="3367"/>
      <c r="R6" s="3377"/>
      <c r="S6" s="3378"/>
      <c r="T6" s="3386"/>
      <c r="U6" s="3387"/>
      <c r="V6" s="3350"/>
      <c r="W6" s="3350"/>
      <c r="X6" s="1813"/>
      <c r="Y6" s="3386"/>
      <c r="Z6" s="3387"/>
      <c r="AA6" s="3357"/>
      <c r="AB6" s="3357"/>
      <c r="AC6" s="3357"/>
    </row>
    <row r="7" spans="1:29" s="117" customFormat="1" ht="15.75" thickBot="1">
      <c r="A7" s="408" t="s">
        <v>2541</v>
      </c>
      <c r="B7" s="409"/>
      <c r="C7" s="410">
        <f>'数据-取费表'!B2</f>
        <v>43544</v>
      </c>
      <c r="D7" s="411">
        <v>100</v>
      </c>
      <c r="E7" s="412"/>
      <c r="F7" s="413">
        <f>SUMIF(52:52,YEAR(E7)&amp;"-"&amp;MONTH(E7),53:53)</f>
        <v>0</v>
      </c>
      <c r="G7" s="412"/>
      <c r="H7" s="411">
        <f>SUMIF(52:52,YEAR(G7)&amp;"-"&amp;MONTH(G7),53:53)</f>
        <v>0</v>
      </c>
      <c r="I7" s="412"/>
      <c r="J7" s="411">
        <f>SUMIF(52:52,YEAR(I7)&amp;"-"&amp;MONTH(I7),53:53)</f>
        <v>0</v>
      </c>
      <c r="K7" s="611"/>
      <c r="L7" s="1132"/>
      <c r="M7" s="1133"/>
      <c r="N7" s="1133"/>
      <c r="O7" s="1133"/>
      <c r="P7" s="3370" t="s">
        <v>2542</v>
      </c>
      <c r="Q7" s="3383"/>
      <c r="R7" s="770" t="s">
        <v>17</v>
      </c>
      <c r="S7" s="771">
        <f t="shared" ref="S7:S15" si="0">F7</f>
        <v>0</v>
      </c>
      <c r="T7" s="770" t="s">
        <v>17</v>
      </c>
      <c r="U7" s="771">
        <f t="shared" ref="U7:U15" si="1">H7</f>
        <v>0</v>
      </c>
      <c r="V7" s="770" t="s">
        <v>17</v>
      </c>
      <c r="W7" s="771">
        <f t="shared" ref="W7:W15" si="2">J7</f>
        <v>0</v>
      </c>
      <c r="X7" s="772"/>
      <c r="Y7" s="3370" t="s">
        <v>2542</v>
      </c>
      <c r="Z7" s="3371"/>
      <c r="AA7" s="773" t="e">
        <f>D7/F7</f>
        <v>#DIV/0!</v>
      </c>
      <c r="AB7" s="773" t="e">
        <f>D7/H7</f>
        <v>#DIV/0!</v>
      </c>
      <c r="AC7" s="773" t="e">
        <f>D7/J7</f>
        <v>#DIV/0!</v>
      </c>
    </row>
    <row r="8" spans="1:29" s="117" customFormat="1" ht="15.75" thickBot="1">
      <c r="A8" s="408" t="s">
        <v>2543</v>
      </c>
      <c r="B8" s="409"/>
      <c r="C8" s="414" t="s">
        <v>2544</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370" t="s">
        <v>2545</v>
      </c>
      <c r="Q8" s="3371"/>
      <c r="R8" s="770" t="s">
        <v>17</v>
      </c>
      <c r="S8" s="771">
        <f t="shared" si="0"/>
        <v>0</v>
      </c>
      <c r="T8" s="770" t="s">
        <v>17</v>
      </c>
      <c r="U8" s="771">
        <f t="shared" si="1"/>
        <v>0</v>
      </c>
      <c r="V8" s="770" t="s">
        <v>17</v>
      </c>
      <c r="W8" s="771">
        <f t="shared" si="2"/>
        <v>0</v>
      </c>
      <c r="X8" s="772"/>
      <c r="Y8" s="3370" t="s">
        <v>2545</v>
      </c>
      <c r="Z8" s="3371"/>
      <c r="AA8" s="773" t="e">
        <f t="shared" ref="AA8:AA40" si="3">D8/F8</f>
        <v>#DIV/0!</v>
      </c>
      <c r="AB8" s="773" t="e">
        <f t="shared" ref="AB8:AB40" si="4">D8/H8</f>
        <v>#DIV/0!</v>
      </c>
      <c r="AC8" s="773" t="e">
        <f t="shared" ref="AC8:AC40" si="5">D8/J8</f>
        <v>#DIV/0!</v>
      </c>
    </row>
    <row r="9" spans="1:29" s="117" customFormat="1">
      <c r="A9" s="415" t="s">
        <v>2546</v>
      </c>
      <c r="B9" s="71" t="s">
        <v>2547</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348" t="s">
        <v>2548</v>
      </c>
      <c r="Q9" s="1795" t="str">
        <f t="shared" ref="Q9:Q15" si="6">B9</f>
        <v>用途</v>
      </c>
      <c r="R9" s="770" t="s">
        <v>17</v>
      </c>
      <c r="S9" s="771">
        <f t="shared" si="0"/>
        <v>100</v>
      </c>
      <c r="T9" s="770" t="s">
        <v>17</v>
      </c>
      <c r="U9" s="771">
        <f t="shared" si="1"/>
        <v>100</v>
      </c>
      <c r="V9" s="770" t="s">
        <v>17</v>
      </c>
      <c r="W9" s="771">
        <f t="shared" si="2"/>
        <v>100</v>
      </c>
      <c r="X9" s="772"/>
      <c r="Y9" s="3204"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348"/>
      <c r="Q10" s="1795" t="str">
        <f t="shared" si="6"/>
        <v>土地使用年限（年）</v>
      </c>
      <c r="R10" s="770" t="s">
        <v>17</v>
      </c>
      <c r="S10" s="771">
        <f t="shared" si="0"/>
        <v>100</v>
      </c>
      <c r="T10" s="770" t="s">
        <v>17</v>
      </c>
      <c r="U10" s="771">
        <f t="shared" si="1"/>
        <v>100</v>
      </c>
      <c r="V10" s="770" t="s">
        <v>17</v>
      </c>
      <c r="W10" s="771">
        <f t="shared" si="2"/>
        <v>100</v>
      </c>
      <c r="X10" s="772"/>
      <c r="Y10" s="3204"/>
      <c r="Z10" s="55" t="str">
        <f t="shared" si="7"/>
        <v>土地使用年限（年）</v>
      </c>
      <c r="AA10" s="773">
        <f t="shared" si="3"/>
        <v>1</v>
      </c>
      <c r="AB10" s="773">
        <f t="shared" si="4"/>
        <v>1</v>
      </c>
      <c r="AC10" s="773">
        <f t="shared" si="5"/>
        <v>1</v>
      </c>
    </row>
    <row r="11" spans="1:29" ht="15">
      <c r="A11" s="428"/>
      <c r="B11" s="422" t="s">
        <v>2551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348"/>
      <c r="Q11" s="1795" t="str">
        <f t="shared" si="6"/>
        <v>容积率</v>
      </c>
      <c r="R11" s="770" t="s">
        <v>17</v>
      </c>
      <c r="S11" s="771" t="e">
        <f t="shared" si="0"/>
        <v>#N/A</v>
      </c>
      <c r="T11" s="770" t="s">
        <v>17</v>
      </c>
      <c r="U11" s="771" t="e">
        <f t="shared" si="1"/>
        <v>#N/A</v>
      </c>
      <c r="V11" s="770" t="s">
        <v>17</v>
      </c>
      <c r="W11" s="771" t="e">
        <f t="shared" si="2"/>
        <v>#N/A</v>
      </c>
      <c r="X11" s="772"/>
      <c r="Y11" s="3204"/>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2"/>
      <c r="M12" s="1133"/>
      <c r="N12" s="1133"/>
      <c r="O12" s="1134"/>
      <c r="P12" s="3348"/>
      <c r="Q12" s="1795">
        <f t="shared" si="6"/>
        <v>111</v>
      </c>
      <c r="R12" s="770" t="s">
        <v>17</v>
      </c>
      <c r="S12" s="771">
        <f t="shared" si="0"/>
        <v>100</v>
      </c>
      <c r="T12" s="770" t="s">
        <v>17</v>
      </c>
      <c r="U12" s="771">
        <f t="shared" si="1"/>
        <v>100</v>
      </c>
      <c r="V12" s="770" t="s">
        <v>17</v>
      </c>
      <c r="W12" s="771">
        <f t="shared" si="2"/>
        <v>100</v>
      </c>
      <c r="X12" s="772"/>
      <c r="Y12" s="3204"/>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0"/>
      <c r="M13" s="1131"/>
      <c r="N13" s="1131"/>
      <c r="O13" s="1139"/>
      <c r="P13" s="3348"/>
      <c r="Q13" s="1795">
        <f t="shared" si="6"/>
        <v>111</v>
      </c>
      <c r="R13" s="770" t="s">
        <v>17</v>
      </c>
      <c r="S13" s="771">
        <f t="shared" si="0"/>
        <v>100</v>
      </c>
      <c r="T13" s="770" t="s">
        <v>17</v>
      </c>
      <c r="U13" s="771">
        <f t="shared" si="1"/>
        <v>100</v>
      </c>
      <c r="V13" s="770" t="s">
        <v>17</v>
      </c>
      <c r="W13" s="771">
        <f t="shared" si="2"/>
        <v>100</v>
      </c>
      <c r="X13" s="772"/>
      <c r="Y13" s="3204"/>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0"/>
      <c r="M14" s="1131"/>
      <c r="N14" s="1131"/>
      <c r="O14" s="1139"/>
      <c r="P14" s="3348"/>
      <c r="Q14" s="1795">
        <f t="shared" si="6"/>
        <v>111</v>
      </c>
      <c r="R14" s="770" t="s">
        <v>17</v>
      </c>
      <c r="S14" s="771">
        <f t="shared" si="0"/>
        <v>100</v>
      </c>
      <c r="T14" s="770" t="s">
        <v>17</v>
      </c>
      <c r="U14" s="771">
        <f t="shared" si="1"/>
        <v>100</v>
      </c>
      <c r="V14" s="770" t="s">
        <v>17</v>
      </c>
      <c r="W14" s="771">
        <f t="shared" si="2"/>
        <v>100</v>
      </c>
      <c r="X14" s="772"/>
      <c r="Y14" s="3204"/>
      <c r="Z14" s="55">
        <f t="shared" si="7"/>
        <v>111</v>
      </c>
      <c r="AA14" s="773">
        <f t="shared" si="3"/>
        <v>1</v>
      </c>
      <c r="AB14" s="773">
        <f t="shared" si="4"/>
        <v>1</v>
      </c>
      <c r="AC14" s="773">
        <f t="shared" si="5"/>
        <v>1</v>
      </c>
    </row>
    <row r="15" spans="1:29" ht="57">
      <c r="A15" s="440" t="s">
        <v>2552</v>
      </c>
      <c r="B15" s="69" t="s">
        <v>2696</v>
      </c>
      <c r="C15" s="269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351" t="s">
        <v>2553</v>
      </c>
      <c r="Q15" s="1810" t="str">
        <f t="shared" si="6"/>
        <v>产业集聚程度</v>
      </c>
      <c r="R15" s="774" t="s">
        <v>17</v>
      </c>
      <c r="S15" s="775">
        <f t="shared" si="0"/>
        <v>100</v>
      </c>
      <c r="T15" s="774" t="s">
        <v>17</v>
      </c>
      <c r="U15" s="775">
        <f t="shared" si="1"/>
        <v>100</v>
      </c>
      <c r="V15" s="774" t="s">
        <v>17</v>
      </c>
      <c r="W15" s="775">
        <f t="shared" si="2"/>
        <v>100</v>
      </c>
      <c r="X15" s="1813"/>
      <c r="Y15" s="3351" t="s">
        <v>2553</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352"/>
      <c r="Q16" s="1810"/>
      <c r="R16" s="774"/>
      <c r="S16" s="775"/>
      <c r="T16" s="774"/>
      <c r="U16" s="775"/>
      <c r="V16" s="774"/>
      <c r="W16" s="775"/>
      <c r="X16" s="1813"/>
      <c r="Y16" s="3352"/>
      <c r="Z16" s="1814"/>
      <c r="AA16" s="1811">
        <v>1</v>
      </c>
      <c r="AB16" s="1811">
        <v>1</v>
      </c>
      <c r="AC16" s="1811">
        <v>1</v>
      </c>
    </row>
    <row r="17" spans="1:29" ht="85.5">
      <c r="A17" s="428"/>
      <c r="B17" s="451" t="s">
        <v>2091</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352"/>
      <c r="Q17" s="1810" t="str">
        <f>B17</f>
        <v>交通便捷度</v>
      </c>
      <c r="R17" s="774" t="s">
        <v>17</v>
      </c>
      <c r="S17" s="775">
        <f>F17</f>
        <v>100</v>
      </c>
      <c r="T17" s="774" t="s">
        <v>17</v>
      </c>
      <c r="U17" s="775">
        <f>H17</f>
        <v>100</v>
      </c>
      <c r="V17" s="774" t="s">
        <v>17</v>
      </c>
      <c r="W17" s="775">
        <f>J17</f>
        <v>100</v>
      </c>
      <c r="X17" s="1813"/>
      <c r="Y17" s="3352"/>
      <c r="Z17" s="1814" t="str">
        <f>Q17</f>
        <v>交通便捷度</v>
      </c>
      <c r="AA17" s="1811">
        <f t="shared" si="3"/>
        <v>1</v>
      </c>
      <c r="AB17" s="1811">
        <f t="shared" si="4"/>
        <v>1</v>
      </c>
      <c r="AC17" s="1811">
        <f t="shared" si="5"/>
        <v>1</v>
      </c>
    </row>
    <row r="18" spans="1:29" ht="15">
      <c r="A18" s="428"/>
      <c r="B18" s="456"/>
      <c r="C18" s="2607"/>
      <c r="D18" s="450"/>
      <c r="E18" s="2609"/>
      <c r="F18" s="453"/>
      <c r="G18" s="2608"/>
      <c r="H18" s="448"/>
      <c r="I18" s="2609"/>
      <c r="J18" s="448"/>
      <c r="K18" s="615"/>
      <c r="L18" s="1140"/>
      <c r="M18" s="1131"/>
      <c r="N18" s="1131"/>
      <c r="O18" s="1139"/>
      <c r="P18" s="3352"/>
      <c r="Q18" s="1810"/>
      <c r="R18" s="774"/>
      <c r="S18" s="775"/>
      <c r="T18" s="774"/>
      <c r="U18" s="775"/>
      <c r="V18" s="774"/>
      <c r="W18" s="775"/>
      <c r="X18" s="1813"/>
      <c r="Y18" s="3352"/>
      <c r="Z18" s="1814"/>
      <c r="AA18" s="1811">
        <v>1</v>
      </c>
      <c r="AB18" s="1811">
        <v>1</v>
      </c>
      <c r="AC18" s="1811">
        <v>1</v>
      </c>
    </row>
    <row r="19" spans="1:29" ht="42.75">
      <c r="A19" s="428"/>
      <c r="B19" s="451" t="s">
        <v>2681</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352"/>
      <c r="Q19" s="1810" t="str">
        <f>B19</f>
        <v>公共配套设施</v>
      </c>
      <c r="R19" s="774" t="s">
        <v>17</v>
      </c>
      <c r="S19" s="775">
        <f>F19</f>
        <v>100</v>
      </c>
      <c r="T19" s="774" t="s">
        <v>17</v>
      </c>
      <c r="U19" s="775">
        <f>H19</f>
        <v>100</v>
      </c>
      <c r="V19" s="774" t="s">
        <v>17</v>
      </c>
      <c r="W19" s="775">
        <f>J19</f>
        <v>100</v>
      </c>
      <c r="X19" s="1813"/>
      <c r="Y19" s="3352"/>
      <c r="Z19" s="1814" t="str">
        <f>Q19</f>
        <v>公共配套设施</v>
      </c>
      <c r="AA19" s="1811">
        <f t="shared" si="3"/>
        <v>1</v>
      </c>
      <c r="AB19" s="1811">
        <f t="shared" si="4"/>
        <v>1</v>
      </c>
      <c r="AC19" s="1811">
        <f t="shared" si="5"/>
        <v>1</v>
      </c>
    </row>
    <row r="20" spans="1:29" ht="15">
      <c r="A20" s="428"/>
      <c r="B20" s="456"/>
      <c r="C20" s="447"/>
      <c r="D20" s="448"/>
      <c r="E20" s="2604"/>
      <c r="F20" s="449"/>
      <c r="G20" s="2603"/>
      <c r="H20" s="448"/>
      <c r="I20" s="2604"/>
      <c r="J20" s="448"/>
      <c r="K20" s="615"/>
      <c r="L20" s="1140"/>
      <c r="M20" s="1131"/>
      <c r="N20" s="1131"/>
      <c r="O20" s="1139"/>
      <c r="P20" s="3352"/>
      <c r="Q20" s="1810"/>
      <c r="R20" s="774"/>
      <c r="S20" s="775"/>
      <c r="T20" s="774"/>
      <c r="U20" s="775"/>
      <c r="V20" s="774"/>
      <c r="W20" s="775"/>
      <c r="X20" s="1813"/>
      <c r="Y20" s="3352"/>
      <c r="Z20" s="1814"/>
      <c r="AA20" s="1811">
        <v>1</v>
      </c>
      <c r="AB20" s="1811">
        <v>1</v>
      </c>
      <c r="AC20" s="1811">
        <v>1</v>
      </c>
    </row>
    <row r="21" spans="1:29" ht="28.5">
      <c r="A21" s="428"/>
      <c r="B21" s="1384" t="s">
        <v>2682</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352"/>
      <c r="Q21" s="1810" t="str">
        <f>B21</f>
        <v>基础设施水平</v>
      </c>
      <c r="R21" s="774" t="s">
        <v>17</v>
      </c>
      <c r="S21" s="775">
        <f>F21</f>
        <v>100</v>
      </c>
      <c r="T21" s="774" t="s">
        <v>17</v>
      </c>
      <c r="U21" s="775">
        <f>H21</f>
        <v>100</v>
      </c>
      <c r="V21" s="774" t="s">
        <v>17</v>
      </c>
      <c r="W21" s="775">
        <f>J21</f>
        <v>100</v>
      </c>
      <c r="X21" s="1813"/>
      <c r="Y21" s="3352"/>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9"/>
      <c r="G22" s="447"/>
      <c r="H22" s="448"/>
      <c r="I22" s="447"/>
      <c r="J22" s="448"/>
      <c r="K22" s="1383"/>
      <c r="L22" s="1140"/>
      <c r="M22" s="1131"/>
      <c r="N22" s="1131"/>
      <c r="O22" s="1139"/>
      <c r="P22" s="3352"/>
      <c r="Q22" s="1810"/>
      <c r="R22" s="774"/>
      <c r="S22" s="775"/>
      <c r="T22" s="774"/>
      <c r="U22" s="775"/>
      <c r="V22" s="774"/>
      <c r="W22" s="775"/>
      <c r="X22" s="1813"/>
      <c r="Y22" s="3352"/>
      <c r="Z22" s="1814"/>
      <c r="AA22" s="1811">
        <v>1</v>
      </c>
      <c r="AB22" s="1811">
        <v>1</v>
      </c>
      <c r="AC22" s="1811">
        <v>1</v>
      </c>
    </row>
    <row r="23" spans="1:29" ht="71.25">
      <c r="A23" s="428"/>
      <c r="B23" s="451" t="s">
        <v>2683</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352"/>
      <c r="Q23" s="1810" t="str">
        <f>B23</f>
        <v>环境质量</v>
      </c>
      <c r="R23" s="774" t="s">
        <v>17</v>
      </c>
      <c r="S23" s="775">
        <f>F23</f>
        <v>100</v>
      </c>
      <c r="T23" s="774" t="s">
        <v>17</v>
      </c>
      <c r="U23" s="775">
        <f>H23</f>
        <v>100</v>
      </c>
      <c r="V23" s="774" t="s">
        <v>17</v>
      </c>
      <c r="W23" s="775">
        <f>J23</f>
        <v>100</v>
      </c>
      <c r="X23" s="1813"/>
      <c r="Y23" s="3352"/>
      <c r="Z23" s="1814" t="str">
        <f>Q23</f>
        <v>环境质量</v>
      </c>
      <c r="AA23" s="1811">
        <f t="shared" si="3"/>
        <v>1</v>
      </c>
      <c r="AB23" s="1811">
        <f t="shared" si="4"/>
        <v>1</v>
      </c>
      <c r="AC23" s="1811">
        <f t="shared" si="5"/>
        <v>1</v>
      </c>
    </row>
    <row r="24" spans="1:29" ht="15">
      <c r="A24" s="428"/>
      <c r="B24" s="1384"/>
      <c r="C24" s="447"/>
      <c r="D24" s="448"/>
      <c r="E24" s="2604"/>
      <c r="F24" s="449"/>
      <c r="G24" s="2603"/>
      <c r="H24" s="448"/>
      <c r="I24" s="2604"/>
      <c r="J24" s="448"/>
      <c r="K24" s="615"/>
      <c r="L24" s="1140"/>
      <c r="M24" s="1131"/>
      <c r="N24" s="1131"/>
      <c r="O24" s="1139"/>
      <c r="P24" s="3352"/>
      <c r="Q24" s="1810"/>
      <c r="R24" s="774"/>
      <c r="S24" s="775"/>
      <c r="T24" s="774"/>
      <c r="U24" s="775"/>
      <c r="V24" s="774"/>
      <c r="W24" s="775"/>
      <c r="X24" s="1813"/>
      <c r="Y24" s="3352"/>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352"/>
      <c r="Q25" s="1810">
        <f>B25</f>
        <v>111</v>
      </c>
      <c r="R25" s="774" t="s">
        <v>17</v>
      </c>
      <c r="S25" s="775">
        <f>F25</f>
        <v>100</v>
      </c>
      <c r="T25" s="774" t="s">
        <v>17</v>
      </c>
      <c r="U25" s="775">
        <f>H25</f>
        <v>100</v>
      </c>
      <c r="V25" s="774" t="s">
        <v>17</v>
      </c>
      <c r="W25" s="775">
        <f>J25</f>
        <v>100</v>
      </c>
      <c r="X25" s="1813"/>
      <c r="Y25" s="3352"/>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352"/>
      <c r="Q26" s="1810">
        <f t="shared" ref="Q26:Q40" si="11">B26</f>
        <v>111</v>
      </c>
      <c r="R26" s="774" t="s">
        <v>17</v>
      </c>
      <c r="S26" s="775">
        <f>F26</f>
        <v>100</v>
      </c>
      <c r="T26" s="774" t="s">
        <v>17</v>
      </c>
      <c r="U26" s="775">
        <f>H26</f>
        <v>100</v>
      </c>
      <c r="V26" s="774" t="s">
        <v>17</v>
      </c>
      <c r="W26" s="775">
        <f>J26</f>
        <v>100</v>
      </c>
      <c r="X26" s="1813"/>
      <c r="Y26" s="3352"/>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352"/>
      <c r="Q27" s="1795">
        <f t="shared" si="11"/>
        <v>111</v>
      </c>
      <c r="R27" s="770" t="s">
        <v>17</v>
      </c>
      <c r="S27" s="771">
        <f>F27</f>
        <v>100</v>
      </c>
      <c r="T27" s="770" t="s">
        <v>17</v>
      </c>
      <c r="U27" s="771">
        <f>H27</f>
        <v>100</v>
      </c>
      <c r="V27" s="770" t="s">
        <v>17</v>
      </c>
      <c r="W27" s="771">
        <f>J27</f>
        <v>100</v>
      </c>
      <c r="X27" s="772"/>
      <c r="Y27" s="3352"/>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352"/>
      <c r="Q28" s="1810">
        <f t="shared" si="11"/>
        <v>111</v>
      </c>
      <c r="R28" s="774" t="s">
        <v>17</v>
      </c>
      <c r="S28" s="775">
        <f t="shared" ref="S28:S40" si="12">F28</f>
        <v>100</v>
      </c>
      <c r="T28" s="774" t="s">
        <v>17</v>
      </c>
      <c r="U28" s="775">
        <f t="shared" ref="U28:U40" si="13">H28</f>
        <v>100</v>
      </c>
      <c r="V28" s="774" t="s">
        <v>17</v>
      </c>
      <c r="W28" s="775">
        <f t="shared" ref="W28:W40" si="14">J28</f>
        <v>100</v>
      </c>
      <c r="X28" s="1813"/>
      <c r="Y28" s="3352"/>
      <c r="Z28" s="1814">
        <f t="shared" ref="Z28:Z40" si="15">Q28</f>
        <v>111</v>
      </c>
      <c r="AA28" s="1811">
        <f t="shared" si="3"/>
        <v>1</v>
      </c>
      <c r="AB28" s="1811">
        <f t="shared" si="4"/>
        <v>1</v>
      </c>
      <c r="AC28" s="1811">
        <f t="shared" si="5"/>
        <v>1</v>
      </c>
    </row>
    <row r="29" spans="1:29" ht="28.5">
      <c r="A29" s="466" t="s">
        <v>2556</v>
      </c>
      <c r="B29" s="71" t="s">
        <v>2686</v>
      </c>
      <c r="C29" s="2678"/>
      <c r="D29" s="467">
        <v>100</v>
      </c>
      <c r="E29" s="2678"/>
      <c r="F29" s="461">
        <f>SUMIF(88:88,E29,89:89)-SUMIF(88:88,C29,89:89)+100</f>
        <v>100</v>
      </c>
      <c r="G29" s="2678"/>
      <c r="H29" s="435">
        <f>SUMIF(88:88,G29,89:89)-SUMIF(88:88,C29,89:89)+100</f>
        <v>100</v>
      </c>
      <c r="I29" s="2678"/>
      <c r="J29" s="467">
        <f>SUMIF(88:88,I29,89:89)-SUMIF(88:88,C29,89:89)+100</f>
        <v>100</v>
      </c>
      <c r="K29" s="612"/>
      <c r="L29" s="1140"/>
      <c r="M29" s="1131"/>
      <c r="N29" s="1131"/>
      <c r="O29" s="1139"/>
      <c r="P29" s="3353" t="s">
        <v>2558</v>
      </c>
      <c r="Q29" s="1810" t="str">
        <f t="shared" si="11"/>
        <v>建筑类型</v>
      </c>
      <c r="R29" s="774" t="s">
        <v>17</v>
      </c>
      <c r="S29" s="775">
        <f t="shared" si="12"/>
        <v>100</v>
      </c>
      <c r="T29" s="774" t="s">
        <v>17</v>
      </c>
      <c r="U29" s="775">
        <f t="shared" si="13"/>
        <v>100</v>
      </c>
      <c r="V29" s="774" t="s">
        <v>17</v>
      </c>
      <c r="W29" s="775">
        <f t="shared" si="14"/>
        <v>100</v>
      </c>
      <c r="X29" s="1813"/>
      <c r="Y29" s="3354" t="s">
        <v>2558</v>
      </c>
      <c r="Z29" s="1814" t="str">
        <f t="shared" si="15"/>
        <v>建筑类型</v>
      </c>
      <c r="AA29" s="1811">
        <f t="shared" si="3"/>
        <v>1</v>
      </c>
      <c r="AB29" s="1811">
        <f t="shared" si="4"/>
        <v>1</v>
      </c>
      <c r="AC29" s="1811">
        <f t="shared" si="5"/>
        <v>1</v>
      </c>
    </row>
    <row r="30" spans="1:29" s="471" customFormat="1" ht="15">
      <c r="A30" s="468"/>
      <c r="B30" s="422" t="s">
        <v>2559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354"/>
      <c r="Q30" s="776" t="str">
        <f t="shared" si="11"/>
        <v>项目建筑规模</v>
      </c>
      <c r="R30" s="777" t="s">
        <v>17</v>
      </c>
      <c r="S30" s="778" t="e">
        <f t="shared" si="12"/>
        <v>#N/A</v>
      </c>
      <c r="T30" s="777" t="s">
        <v>17</v>
      </c>
      <c r="U30" s="778" t="e">
        <f t="shared" si="13"/>
        <v>#N/A</v>
      </c>
      <c r="V30" s="777" t="s">
        <v>17</v>
      </c>
      <c r="W30" s="778" t="e">
        <f t="shared" si="14"/>
        <v>#N/A</v>
      </c>
      <c r="X30" s="779"/>
      <c r="Y30" s="3354"/>
      <c r="Z30" s="780" t="str">
        <f t="shared" si="15"/>
        <v>项目建筑规模</v>
      </c>
      <c r="AA30" s="1811" t="e">
        <f t="shared" si="3"/>
        <v>#N/A</v>
      </c>
      <c r="AB30" s="1811" t="e">
        <f t="shared" si="4"/>
        <v>#N/A</v>
      </c>
      <c r="AC30" s="1811" t="e">
        <f t="shared" si="5"/>
        <v>#N/A</v>
      </c>
    </row>
    <row r="31" spans="1:29" ht="15">
      <c r="A31" s="472"/>
      <c r="B31" s="422" t="s">
        <v>2560</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354"/>
      <c r="Q31" s="1810" t="str">
        <f t="shared" si="11"/>
        <v>建筑结构</v>
      </c>
      <c r="R31" s="774" t="s">
        <v>17</v>
      </c>
      <c r="S31" s="775">
        <f t="shared" si="12"/>
        <v>100</v>
      </c>
      <c r="T31" s="774" t="s">
        <v>17</v>
      </c>
      <c r="U31" s="775">
        <f t="shared" si="13"/>
        <v>100</v>
      </c>
      <c r="V31" s="774" t="s">
        <v>17</v>
      </c>
      <c r="W31" s="775">
        <f t="shared" si="14"/>
        <v>100</v>
      </c>
      <c r="X31" s="1813"/>
      <c r="Y31" s="3354"/>
      <c r="Z31" s="1814" t="str">
        <f t="shared" si="15"/>
        <v>建筑结构</v>
      </c>
      <c r="AA31" s="1811">
        <f t="shared" si="3"/>
        <v>1</v>
      </c>
      <c r="AB31" s="1811">
        <f t="shared" si="4"/>
        <v>1</v>
      </c>
      <c r="AC31" s="1811">
        <f t="shared" si="5"/>
        <v>1</v>
      </c>
    </row>
    <row r="32" spans="1:29" ht="15">
      <c r="A32" s="472"/>
      <c r="B32" s="422" t="s">
        <v>2654</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354"/>
      <c r="Q32" s="1810" t="str">
        <f t="shared" si="11"/>
        <v>公共部分装修</v>
      </c>
      <c r="R32" s="774" t="s">
        <v>17</v>
      </c>
      <c r="S32" s="775">
        <f t="shared" si="12"/>
        <v>100</v>
      </c>
      <c r="T32" s="774" t="s">
        <v>17</v>
      </c>
      <c r="U32" s="775">
        <f t="shared" si="13"/>
        <v>100</v>
      </c>
      <c r="V32" s="774" t="s">
        <v>17</v>
      </c>
      <c r="W32" s="775">
        <f t="shared" si="14"/>
        <v>100</v>
      </c>
      <c r="X32" s="1813"/>
      <c r="Y32" s="3354"/>
      <c r="Z32" s="1814" t="str">
        <f t="shared" si="15"/>
        <v>公共部分装修</v>
      </c>
      <c r="AA32" s="1811">
        <f t="shared" si="3"/>
        <v>1</v>
      </c>
      <c r="AB32" s="1811">
        <f t="shared" si="4"/>
        <v>1</v>
      </c>
      <c r="AC32" s="1811">
        <f t="shared" si="5"/>
        <v>1</v>
      </c>
    </row>
    <row r="33" spans="1:29" ht="15">
      <c r="A33" s="472"/>
      <c r="B33" s="422" t="s">
        <v>2655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354"/>
      <c r="Q33" s="1810" t="str">
        <f t="shared" si="11"/>
        <v>成新度</v>
      </c>
      <c r="R33" s="774" t="s">
        <v>17</v>
      </c>
      <c r="S33" s="775" t="e">
        <f t="shared" si="12"/>
        <v>#N/A</v>
      </c>
      <c r="T33" s="774" t="s">
        <v>17</v>
      </c>
      <c r="U33" s="775" t="e">
        <f t="shared" si="13"/>
        <v>#N/A</v>
      </c>
      <c r="V33" s="774" t="s">
        <v>17</v>
      </c>
      <c r="W33" s="775" t="e">
        <f t="shared" si="14"/>
        <v>#N/A</v>
      </c>
      <c r="X33" s="1813"/>
      <c r="Y33" s="3354"/>
      <c r="Z33" s="1814" t="str">
        <f t="shared" si="15"/>
        <v>成新度</v>
      </c>
      <c r="AA33" s="1811" t="e">
        <f t="shared" si="3"/>
        <v>#N/A</v>
      </c>
      <c r="AB33" s="1811" t="e">
        <f t="shared" si="4"/>
        <v>#N/A</v>
      </c>
      <c r="AC33" s="1811" t="e">
        <f t="shared" si="5"/>
        <v>#N/A</v>
      </c>
    </row>
    <row r="34" spans="1:29" s="117" customFormat="1" ht="15">
      <c r="A34" s="473"/>
      <c r="B34" s="422" t="s">
        <v>2688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354"/>
      <c r="Q34" s="1795" t="str">
        <f t="shared" si="11"/>
        <v>物业管理</v>
      </c>
      <c r="R34" s="770" t="s">
        <v>17</v>
      </c>
      <c r="S34" s="771">
        <f t="shared" si="12"/>
        <v>100</v>
      </c>
      <c r="T34" s="770" t="s">
        <v>17</v>
      </c>
      <c r="U34" s="771">
        <f t="shared" si="13"/>
        <v>100</v>
      </c>
      <c r="V34" s="770" t="s">
        <v>17</v>
      </c>
      <c r="W34" s="771">
        <f t="shared" si="14"/>
        <v>100</v>
      </c>
      <c r="X34" s="772"/>
      <c r="Y34" s="3354"/>
      <c r="Z34" s="55" t="str">
        <f t="shared" si="15"/>
        <v>物业管理</v>
      </c>
      <c r="AA34" s="773">
        <f t="shared" si="3"/>
        <v>1</v>
      </c>
      <c r="AB34" s="773">
        <f t="shared" si="4"/>
        <v>1</v>
      </c>
      <c r="AC34" s="773">
        <f t="shared" si="5"/>
        <v>1</v>
      </c>
    </row>
    <row r="35" spans="1:29" ht="15">
      <c r="A35" s="472"/>
      <c r="B35" s="422" t="s">
        <v>2656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354" t="s">
        <v>2558</v>
      </c>
      <c r="Q35" s="1810" t="str">
        <f t="shared" si="11"/>
        <v>市政基础设施</v>
      </c>
      <c r="R35" s="774" t="s">
        <v>17</v>
      </c>
      <c r="S35" s="775">
        <f t="shared" si="12"/>
        <v>100</v>
      </c>
      <c r="T35" s="774" t="s">
        <v>17</v>
      </c>
      <c r="U35" s="775">
        <f t="shared" si="13"/>
        <v>100</v>
      </c>
      <c r="V35" s="774" t="s">
        <v>17</v>
      </c>
      <c r="W35" s="775">
        <f t="shared" si="14"/>
        <v>100</v>
      </c>
      <c r="X35" s="1813"/>
      <c r="Y35" s="3354" t="s">
        <v>2558</v>
      </c>
      <c r="Z35" s="1814" t="str">
        <f t="shared" si="15"/>
        <v>市政基础设施</v>
      </c>
      <c r="AA35" s="1811">
        <f t="shared" si="3"/>
        <v>1</v>
      </c>
      <c r="AB35" s="1811">
        <f t="shared" si="4"/>
        <v>1</v>
      </c>
      <c r="AC35" s="1811">
        <f t="shared" si="5"/>
        <v>1</v>
      </c>
    </row>
    <row r="36" spans="1:29" ht="15">
      <c r="A36" s="472"/>
      <c r="B36" s="422" t="s">
        <v>2661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354"/>
      <c r="Q36" s="1810" t="str">
        <f t="shared" si="11"/>
        <v>内部装修</v>
      </c>
      <c r="R36" s="774" t="s">
        <v>17</v>
      </c>
      <c r="S36" s="775">
        <f t="shared" si="12"/>
        <v>100</v>
      </c>
      <c r="T36" s="774" t="s">
        <v>17</v>
      </c>
      <c r="U36" s="775">
        <f t="shared" si="13"/>
        <v>100</v>
      </c>
      <c r="V36" s="774" t="s">
        <v>17</v>
      </c>
      <c r="W36" s="775">
        <f t="shared" si="14"/>
        <v>100</v>
      </c>
      <c r="X36" s="1813"/>
      <c r="Y36" s="3354"/>
      <c r="Z36" s="1814" t="str">
        <f t="shared" si="15"/>
        <v>内部装修</v>
      </c>
      <c r="AA36" s="1811">
        <f t="shared" si="3"/>
        <v>1</v>
      </c>
      <c r="AB36" s="1811">
        <f t="shared" si="4"/>
        <v>1</v>
      </c>
      <c r="AC36" s="1811">
        <f t="shared" si="5"/>
        <v>1</v>
      </c>
    </row>
    <row r="37" spans="1:29" ht="15">
      <c r="A37" s="472"/>
      <c r="B37" s="422" t="s">
        <v>2697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354"/>
      <c r="Q37" s="1810" t="str">
        <f t="shared" si="11"/>
        <v>内部装修状况</v>
      </c>
      <c r="R37" s="774" t="s">
        <v>17</v>
      </c>
      <c r="S37" s="775">
        <f t="shared" si="12"/>
        <v>100</v>
      </c>
      <c r="T37" s="774" t="s">
        <v>17</v>
      </c>
      <c r="U37" s="775">
        <f t="shared" si="13"/>
        <v>100</v>
      </c>
      <c r="V37" s="774" t="s">
        <v>17</v>
      </c>
      <c r="W37" s="775">
        <f t="shared" si="14"/>
        <v>100</v>
      </c>
      <c r="X37" s="1813"/>
      <c r="Y37" s="3354"/>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354"/>
      <c r="Q38" s="776">
        <f t="shared" si="11"/>
        <v>111</v>
      </c>
      <c r="R38" s="777" t="s">
        <v>17</v>
      </c>
      <c r="S38" s="778">
        <f t="shared" si="12"/>
        <v>100</v>
      </c>
      <c r="T38" s="777" t="s">
        <v>17</v>
      </c>
      <c r="U38" s="778">
        <f t="shared" si="13"/>
        <v>100</v>
      </c>
      <c r="V38" s="777" t="s">
        <v>17</v>
      </c>
      <c r="W38" s="778">
        <f t="shared" si="14"/>
        <v>100</v>
      </c>
      <c r="X38" s="779"/>
      <c r="Y38" s="3354"/>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354"/>
      <c r="Q39" s="1810">
        <f t="shared" si="11"/>
        <v>111</v>
      </c>
      <c r="R39" s="774" t="s">
        <v>17</v>
      </c>
      <c r="S39" s="775">
        <f t="shared" si="12"/>
        <v>100</v>
      </c>
      <c r="T39" s="774" t="s">
        <v>17</v>
      </c>
      <c r="U39" s="775">
        <f t="shared" si="13"/>
        <v>100</v>
      </c>
      <c r="V39" s="774" t="s">
        <v>17</v>
      </c>
      <c r="W39" s="775">
        <f t="shared" si="14"/>
        <v>100</v>
      </c>
      <c r="X39" s="1813"/>
      <c r="Y39" s="3354"/>
      <c r="Z39" s="1814">
        <f t="shared" si="15"/>
        <v>111</v>
      </c>
      <c r="AA39" s="1811">
        <f t="shared" si="3"/>
        <v>1</v>
      </c>
      <c r="AB39" s="1811">
        <f t="shared" si="4"/>
        <v>1</v>
      </c>
      <c r="AC39" s="1811">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429"/>
      <c r="Q40" s="1810">
        <f t="shared" si="11"/>
        <v>111</v>
      </c>
      <c r="R40" s="774" t="s">
        <v>17</v>
      </c>
      <c r="S40" s="775">
        <f t="shared" si="12"/>
        <v>100</v>
      </c>
      <c r="T40" s="774" t="s">
        <v>17</v>
      </c>
      <c r="U40" s="775">
        <f t="shared" si="13"/>
        <v>100</v>
      </c>
      <c r="V40" s="774" t="s">
        <v>17</v>
      </c>
      <c r="W40" s="775">
        <f t="shared" si="14"/>
        <v>100</v>
      </c>
      <c r="X40" s="1813"/>
      <c r="Y40" s="3429"/>
      <c r="Z40" s="1814">
        <f t="shared" si="15"/>
        <v>111</v>
      </c>
      <c r="AA40" s="1811">
        <f t="shared" si="3"/>
        <v>1</v>
      </c>
      <c r="AB40" s="1811">
        <f t="shared" si="4"/>
        <v>1</v>
      </c>
      <c r="AC40" s="1811">
        <f t="shared" si="5"/>
        <v>1</v>
      </c>
    </row>
    <row r="41" spans="1:29" ht="15">
      <c r="A41" s="479" t="s">
        <v>2570</v>
      </c>
      <c r="B41" s="480"/>
      <c r="C41" s="1407" t="s">
        <v>1</v>
      </c>
      <c r="D41" s="1408"/>
      <c r="E41" s="1409"/>
      <c r="F41" s="1410"/>
      <c r="G41" s="1411"/>
      <c r="H41" s="1412"/>
      <c r="I41" s="1409"/>
      <c r="J41" s="1412"/>
      <c r="K41" s="783"/>
      <c r="L41" s="1143"/>
      <c r="M41" s="1144"/>
      <c r="N41" s="1131"/>
      <c r="O41" s="1144"/>
      <c r="P41" s="3348" t="str">
        <f>A41</f>
        <v>成交单价（元/平方米）</v>
      </c>
      <c r="Q41" s="3348"/>
      <c r="R41" s="3425">
        <f>E41</f>
        <v>0</v>
      </c>
      <c r="S41" s="3425"/>
      <c r="T41" s="3425">
        <f>G41</f>
        <v>0</v>
      </c>
      <c r="U41" s="3425"/>
      <c r="V41" s="3425">
        <f>I41</f>
        <v>0</v>
      </c>
      <c r="W41" s="3425"/>
      <c r="X41" s="759"/>
      <c r="Y41" s="781"/>
      <c r="Z41" s="759"/>
      <c r="AA41" s="759"/>
      <c r="AB41" s="759"/>
      <c r="AC41" s="759"/>
    </row>
    <row r="42" spans="1:29" ht="15.75" thickBot="1">
      <c r="A42" s="486" t="s">
        <v>2662</v>
      </c>
      <c r="B42" s="487"/>
      <c r="C42" s="1413" t="e">
        <f>R43</f>
        <v>#DIV/0!</v>
      </c>
      <c r="D42" s="1414"/>
      <c r="E42" s="1415" t="e">
        <f>R42</f>
        <v>#DIV/0!</v>
      </c>
      <c r="F42" s="1415"/>
      <c r="G42" s="1413" t="e">
        <f>T42</f>
        <v>#DIV/0!</v>
      </c>
      <c r="H42" s="1414"/>
      <c r="I42" s="1415" t="e">
        <f>V42</f>
        <v>#DIV/0!</v>
      </c>
      <c r="J42" s="1414"/>
      <c r="K42" s="784"/>
      <c r="L42" s="1143"/>
      <c r="M42" s="1144"/>
      <c r="N42" s="1131"/>
      <c r="O42" s="1144"/>
      <c r="P42" s="3348" t="str">
        <f>A42</f>
        <v>比较价值（元/平方米）</v>
      </c>
      <c r="Q42" s="3348"/>
      <c r="R42" s="3425" t="e">
        <f>IF(F1="售价",ROUND(PRODUCT(R41,AA7:AA40),0),ROUND(PRODUCT(R41,AA7:AA40),1))</f>
        <v>#DIV/0!</v>
      </c>
      <c r="S42" s="3425"/>
      <c r="T42" s="3425" t="e">
        <f>IF(F1="售价",ROUND(PRODUCT(T41,AB7:AB40),0),ROUND(PRODUCT(T41,AB7:AB40),1))</f>
        <v>#DIV/0!</v>
      </c>
      <c r="U42" s="3425"/>
      <c r="V42" s="3425" t="e">
        <f>IF(F1="售价",ROUND(PRODUCT(V41,AC7:AC40),0),ROUND(PRODUCT(V41,AC7:AC40),1))</f>
        <v>#DIV/0!</v>
      </c>
      <c r="W42" s="3425"/>
      <c r="X42" s="759"/>
      <c r="Y42" s="759"/>
      <c r="Z42" s="759"/>
      <c r="AA42" s="759"/>
      <c r="AB42" s="759"/>
      <c r="AC42" s="759"/>
    </row>
    <row r="43" spans="1:29" ht="15.75" thickBot="1">
      <c r="A43" s="492" t="s">
        <v>2663</v>
      </c>
      <c r="B43" s="493"/>
      <c r="C43" s="1417" t="e">
        <f>R43</f>
        <v>#DIV/0!</v>
      </c>
      <c r="D43" s="1417"/>
      <c r="E43" s="1417"/>
      <c r="F43" s="1417"/>
      <c r="G43" s="1417"/>
      <c r="H43" s="1417"/>
      <c r="I43" s="1417"/>
      <c r="J43" s="1417"/>
      <c r="K43" s="785"/>
      <c r="L43" s="1143"/>
      <c r="M43" s="1144"/>
      <c r="N43" s="1144"/>
      <c r="O43" s="1144"/>
      <c r="P43" s="3345" t="str">
        <f>A43</f>
        <v>估价对象XX用房的比较价值（楼面单价，元/平方米）</v>
      </c>
      <c r="Q43" s="3346"/>
      <c r="R43" s="3424" t="e">
        <f>IF(F1="售价",ROUND(AVERAGE(R42:V42),0),ROUND(AVERAGE(R42:V42),1))</f>
        <v>#DIV/0!</v>
      </c>
      <c r="S43" s="3424"/>
      <c r="T43" s="3424"/>
      <c r="U43" s="3424"/>
      <c r="V43" s="3424"/>
      <c r="W43" s="3424"/>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2667</v>
      </c>
      <c r="B51" s="759"/>
      <c r="C51" s="764"/>
      <c r="D51" s="764"/>
      <c r="E51" s="764"/>
      <c r="F51" s="765"/>
      <c r="G51" s="765"/>
      <c r="H51" s="764"/>
      <c r="I51" s="764"/>
      <c r="J51" s="764"/>
      <c r="K51" s="1160"/>
      <c r="L51" s="1161"/>
      <c r="M51" s="1159"/>
      <c r="N51" s="1159"/>
      <c r="O51" s="1159"/>
      <c r="P51" s="503"/>
      <c r="Q51" s="504"/>
    </row>
    <row r="52" spans="1:17" s="508" customFormat="1" ht="15">
      <c r="A52" s="505" t="s">
        <v>2541</v>
      </c>
      <c r="B52" s="506"/>
      <c r="C52" s="1574" t="str">
        <f>YEAR(C7)&amp;"-"&amp;MONTH(C7)</f>
        <v>2019-3</v>
      </c>
      <c r="D52" s="1575">
        <f>EDATE(C52,-1)</f>
        <v>43497</v>
      </c>
      <c r="E52" s="1575">
        <f t="shared" ref="E52:O52" si="16">EDATE(D52,-1)</f>
        <v>43466</v>
      </c>
      <c r="F52" s="1575">
        <f t="shared" si="16"/>
        <v>43435</v>
      </c>
      <c r="G52" s="1575">
        <f t="shared" si="16"/>
        <v>43405</v>
      </c>
      <c r="H52" s="1575">
        <f t="shared" si="16"/>
        <v>43374</v>
      </c>
      <c r="I52" s="1575">
        <f t="shared" si="16"/>
        <v>43344</v>
      </c>
      <c r="J52" s="1575">
        <f t="shared" si="16"/>
        <v>43313</v>
      </c>
      <c r="K52" s="1575">
        <f t="shared" si="16"/>
        <v>43282</v>
      </c>
      <c r="L52" s="1575">
        <f t="shared" si="16"/>
        <v>43252</v>
      </c>
      <c r="M52" s="1575">
        <f t="shared" si="16"/>
        <v>43221</v>
      </c>
      <c r="N52" s="1575">
        <f t="shared" si="16"/>
        <v>43191</v>
      </c>
      <c r="O52" s="1575">
        <f t="shared" si="16"/>
        <v>43160</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2578</v>
      </c>
      <c r="B54" s="516"/>
      <c r="C54" s="517"/>
      <c r="D54" s="518"/>
      <c r="E54" s="518"/>
      <c r="F54" s="518"/>
      <c r="G54" s="518"/>
      <c r="H54" s="518"/>
      <c r="I54" s="518"/>
      <c r="J54" s="518"/>
      <c r="K54" s="518"/>
      <c r="L54" s="518"/>
      <c r="M54" s="519"/>
      <c r="N54" s="518"/>
      <c r="O54" s="520"/>
      <c r="P54" s="504"/>
      <c r="Q54" s="504"/>
    </row>
    <row r="55" spans="1:17" s="117" customFormat="1" ht="15">
      <c r="A55" s="521" t="s">
        <v>2543</v>
      </c>
      <c r="B55" s="510"/>
      <c r="C55" s="522" t="s">
        <v>2645</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2581</v>
      </c>
      <c r="B57" s="528" t="s">
        <v>2547</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2550</v>
      </c>
      <c r="C59" s="539" t="s">
        <v>2582</v>
      </c>
      <c r="D59" s="539" t="s">
        <v>2583</v>
      </c>
      <c r="E59" s="539" t="s">
        <v>2584</v>
      </c>
      <c r="F59" s="539" t="s">
        <v>2585</v>
      </c>
      <c r="G59" s="539" t="s">
        <v>2586</v>
      </c>
      <c r="H59" s="539" t="s">
        <v>2587</v>
      </c>
      <c r="I59" s="539" t="s">
        <v>2588</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2552</v>
      </c>
      <c r="B70" s="528" t="s">
        <v>2698</v>
      </c>
      <c r="C70" s="573" t="s">
        <v>2590</v>
      </c>
      <c r="D70" s="573" t="s">
        <v>2591</v>
      </c>
      <c r="E70" s="573" t="s">
        <v>2592</v>
      </c>
      <c r="F70" s="573" t="s">
        <v>2593</v>
      </c>
      <c r="G70" s="573" t="s">
        <v>2594</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2595</v>
      </c>
      <c r="C72" s="578" t="s">
        <v>2590</v>
      </c>
      <c r="D72" s="578" t="s">
        <v>2591</v>
      </c>
      <c r="E72" s="578" t="s">
        <v>2592</v>
      </c>
      <c r="F72" s="578" t="s">
        <v>2593</v>
      </c>
      <c r="G72" s="578" t="s">
        <v>2594</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2596</v>
      </c>
      <c r="C74" s="578" t="s">
        <v>2590</v>
      </c>
      <c r="D74" s="578" t="s">
        <v>2591</v>
      </c>
      <c r="E74" s="578" t="s">
        <v>2592</v>
      </c>
      <c r="F74" s="578" t="s">
        <v>2593</v>
      </c>
      <c r="G74" s="578" t="s">
        <v>2594</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2682</v>
      </c>
      <c r="C76" s="660" t="s">
        <v>2668</v>
      </c>
      <c r="D76" s="660" t="s">
        <v>2669</v>
      </c>
      <c r="E76" s="660" t="s">
        <v>2670</v>
      </c>
      <c r="F76" s="660" t="s">
        <v>2671</v>
      </c>
      <c r="G76" s="660" t="s">
        <v>2672</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2691</v>
      </c>
      <c r="C78" s="578" t="s">
        <v>2590</v>
      </c>
      <c r="D78" s="578" t="s">
        <v>2591</v>
      </c>
      <c r="E78" s="578" t="s">
        <v>2592</v>
      </c>
      <c r="F78" s="578" t="s">
        <v>2593</v>
      </c>
      <c r="G78" s="578" t="s">
        <v>2594</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5"/>
      <c r="B87" s="569"/>
      <c r="C87" s="570"/>
      <c r="D87" s="570"/>
      <c r="E87" s="570"/>
      <c r="F87" s="570"/>
      <c r="G87" s="591"/>
      <c r="H87" s="591"/>
      <c r="I87" s="591"/>
      <c r="J87" s="591"/>
      <c r="K87" s="591"/>
      <c r="L87" s="591"/>
      <c r="M87" s="592"/>
      <c r="N87" s="1153"/>
      <c r="O87" s="1153"/>
      <c r="P87" s="45"/>
      <c r="Q87" s="504"/>
    </row>
    <row r="88" spans="1:17">
      <c r="A88" s="527" t="s">
        <v>2556</v>
      </c>
      <c r="B88" s="528" t="s">
        <v>2605</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2607</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2609</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1989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2610</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2611</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2613</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2699</v>
      </c>
      <c r="C106" s="578" t="s">
        <v>2590</v>
      </c>
      <c r="D106" s="578" t="s">
        <v>2591</v>
      </c>
      <c r="E106" s="578" t="s">
        <v>2592</v>
      </c>
      <c r="F106" s="578" t="s">
        <v>2593</v>
      </c>
      <c r="G106" s="578" t="s">
        <v>2594</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5"/>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1617</v>
      </c>
      <c r="B1" s="1959"/>
      <c r="C1" s="1959"/>
      <c r="D1" s="1959"/>
      <c r="E1" s="1959"/>
    </row>
    <row r="2" spans="1:5" ht="78" customHeight="1">
      <c r="A2" s="31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43"/>
      <c r="C2" s="3143"/>
      <c r="D2" s="3143"/>
      <c r="E2" s="3143"/>
    </row>
    <row r="3" spans="1:5" ht="18">
      <c r="A3" s="3144" t="str">
        <f>IF(项目基本情况!B9="房地产市场价值","估价结果一览表（市场价值不需“结果表-1”）","估价结果一览表")</f>
        <v>估价结果一览表</v>
      </c>
      <c r="B3" s="3144"/>
      <c r="C3" s="3144"/>
      <c r="D3" s="3144"/>
      <c r="E3" s="3144"/>
    </row>
    <row r="4" spans="1:5" ht="19.5" thickBot="1">
      <c r="A4" s="1961"/>
      <c r="B4" s="3142" t="s">
        <v>1626</v>
      </c>
      <c r="C4" s="3142"/>
      <c r="D4" s="3142"/>
      <c r="E4" s="1961"/>
    </row>
    <row r="5" spans="1:5" ht="16.5" thickTop="1">
      <c r="A5" s="1959"/>
      <c r="B5" s="3140" t="s">
        <v>1618</v>
      </c>
      <c r="C5" s="1962" t="s">
        <v>1619</v>
      </c>
      <c r="D5" s="1040">
        <f ca="1">结果表!H101</f>
        <v>81875</v>
      </c>
      <c r="E5" s="1959"/>
    </row>
    <row r="6" spans="1:5" ht="15.75">
      <c r="A6" s="1959"/>
      <c r="B6" s="3140"/>
      <c r="C6" s="1962" t="s">
        <v>1620</v>
      </c>
      <c r="D6" s="1040" t="str">
        <f ca="1">NUMBERSTRING(INT(D5*10000),2)&amp;"元整"</f>
        <v>捌亿壹仟捌佰柒拾伍万元整</v>
      </c>
      <c r="E6" s="1959"/>
    </row>
    <row r="7" spans="1:5" ht="15.75">
      <c r="A7" s="1959"/>
      <c r="B7" s="3145"/>
      <c r="C7" s="1963" t="s">
        <v>1621</v>
      </c>
      <c r="D7" s="1041">
        <f ca="1">结果表!H102</f>
        <v>4241</v>
      </c>
      <c r="E7" s="1959"/>
    </row>
    <row r="8" spans="1:5" ht="15.75">
      <c r="A8" s="1959"/>
      <c r="B8" s="3146" t="str">
        <f>结果表!E103</f>
        <v>2.估价师知悉的法定优先受偿款</v>
      </c>
      <c r="C8" s="1964" t="s">
        <v>1622</v>
      </c>
      <c r="D8" s="1041">
        <f>结果表!H103</f>
        <v>0</v>
      </c>
      <c r="E8" s="1959"/>
    </row>
    <row r="9" spans="1:5" ht="15.75">
      <c r="A9" s="1959"/>
      <c r="B9" s="3148"/>
      <c r="C9" s="1962" t="s">
        <v>1620</v>
      </c>
      <c r="D9" s="1040" t="str">
        <f>NUMBERSTRING(INT(D8*10000),2)&amp;"元整"</f>
        <v>零元整</v>
      </c>
      <c r="E9" s="1959"/>
    </row>
    <row r="10" spans="1:5" ht="15">
      <c r="A10" s="1959"/>
      <c r="B10" s="1965" t="s">
        <v>1625</v>
      </c>
      <c r="C10" s="1966" t="s">
        <v>1623</v>
      </c>
      <c r="D10" s="1042">
        <f>结果表!H104</f>
        <v>0</v>
      </c>
      <c r="E10" s="1959"/>
    </row>
    <row r="11" spans="1:5" ht="15">
      <c r="A11" s="1959"/>
      <c r="B11" s="1965" t="s">
        <v>1627</v>
      </c>
      <c r="C11" s="1966" t="s">
        <v>1628</v>
      </c>
      <c r="D11" s="1042">
        <f>结果表!H105</f>
        <v>0</v>
      </c>
      <c r="E11" s="1959"/>
    </row>
    <row r="12" spans="1:5" ht="15">
      <c r="A12" s="1959"/>
      <c r="B12" s="1965" t="s">
        <v>1629</v>
      </c>
      <c r="C12" s="1966" t="s">
        <v>1628</v>
      </c>
      <c r="D12" s="1042">
        <f>结果表!H106</f>
        <v>0</v>
      </c>
      <c r="E12" s="1959"/>
    </row>
    <row r="13" spans="1:5" ht="15.75">
      <c r="A13" s="1959"/>
      <c r="B13" s="3139" t="str">
        <f>结果表!E107</f>
        <v>3.房地产抵押价值</v>
      </c>
      <c r="C13" s="1967" t="s">
        <v>1619</v>
      </c>
      <c r="D13" s="1043">
        <f ca="1">结果表!H107</f>
        <v>81875</v>
      </c>
      <c r="E13" s="1959"/>
    </row>
    <row r="14" spans="1:5" ht="15.75">
      <c r="A14" s="1959"/>
      <c r="B14" s="3140"/>
      <c r="C14" s="1962" t="s">
        <v>1620</v>
      </c>
      <c r="D14" s="1040" t="str">
        <f ca="1">NUMBERSTRING(INT(D13*10000),2)&amp;"元整"</f>
        <v>捌亿壹仟捌佰柒拾伍万元整</v>
      </c>
      <c r="E14" s="1959"/>
    </row>
    <row r="15" spans="1:5" ht="15">
      <c r="A15" s="1959"/>
      <c r="B15" s="3145"/>
      <c r="C15" s="1963" t="s">
        <v>1630</v>
      </c>
      <c r="D15" s="1052">
        <f ca="1">结果表!H108</f>
        <v>4241</v>
      </c>
      <c r="E15" s="1959"/>
    </row>
    <row r="16" spans="1:5" ht="15">
      <c r="A16" s="1959"/>
      <c r="B16" s="3146" t="str">
        <f>结果表!E109</f>
        <v>4.抵押担保权已注销时的房地产抵押价值</v>
      </c>
      <c r="C16" s="1967" t="s">
        <v>1631</v>
      </c>
      <c r="D16" s="1968">
        <f ca="1">结果表!H109</f>
        <v>81875</v>
      </c>
      <c r="E16" s="1959"/>
    </row>
    <row r="17" spans="1:5" ht="15.75">
      <c r="A17" s="1959"/>
      <c r="B17" s="3147"/>
      <c r="C17" s="1962" t="s">
        <v>1632</v>
      </c>
      <c r="D17" s="1040" t="str">
        <f ca="1">NUMBERSTRING(INT(D16*10000),2)&amp;"元整"</f>
        <v>捌亿壹仟捌佰柒拾伍万元整</v>
      </c>
      <c r="E17" s="1959"/>
    </row>
    <row r="18" spans="1:5" ht="15">
      <c r="A18" s="1959"/>
      <c r="B18" s="3148"/>
      <c r="C18" s="1963" t="s">
        <v>1621</v>
      </c>
      <c r="D18" s="1052">
        <f ca="1">结果表!H110</f>
        <v>4241</v>
      </c>
      <c r="E18" s="1959"/>
    </row>
    <row r="19" spans="1:5" ht="15.75">
      <c r="A19" s="1959"/>
      <c r="B19" s="3139" t="str">
        <f>结果表!E111</f>
        <v>——</v>
      </c>
      <c r="C19" s="1967" t="s">
        <v>1619</v>
      </c>
      <c r="D19" s="1041" t="str">
        <f>结果表!H111</f>
        <v>——</v>
      </c>
      <c r="E19" s="1959"/>
    </row>
    <row r="20" spans="1:5" ht="15.75">
      <c r="A20" s="1959"/>
      <c r="B20" s="3140"/>
      <c r="C20" s="1962" t="s">
        <v>1632</v>
      </c>
      <c r="D20" s="1040" t="e">
        <f>NUMBERSTRING(INT(D19*10000),2)&amp;"元整"</f>
        <v>#VALUE!</v>
      </c>
      <c r="E20" s="1959"/>
    </row>
    <row r="21" spans="1:5" ht="15.75" thickBot="1">
      <c r="A21" s="1959"/>
      <c r="B21" s="3141"/>
      <c r="C21" s="1969" t="s">
        <v>1630</v>
      </c>
      <c r="D21" s="1053" t="str">
        <f>结果表!H112</f>
        <v>——</v>
      </c>
      <c r="E21" s="1959"/>
    </row>
    <row r="22" spans="1:5" ht="15" thickTop="1">
      <c r="A22" s="1959"/>
      <c r="B22" s="1970" t="s">
        <v>1633</v>
      </c>
      <c r="C22" s="1959"/>
      <c r="D22" s="1959"/>
      <c r="E22" s="1959"/>
    </row>
    <row r="23" spans="1:5">
      <c r="A23" s="1959"/>
      <c r="B23" s="1959"/>
      <c r="C23" s="1959"/>
      <c r="D23" s="1959"/>
      <c r="E23" s="1959"/>
    </row>
    <row r="24" spans="1:5" ht="18.75">
      <c r="A24" s="1971"/>
      <c r="B24" s="1972" t="s">
        <v>1624</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2700</v>
      </c>
      <c r="B1" s="1619"/>
      <c r="C1" s="1620" t="s">
        <v>2523</v>
      </c>
      <c r="D1" s="1621"/>
      <c r="E1" s="1622"/>
      <c r="F1" s="2583"/>
      <c r="G1" s="1623" t="s">
        <v>2636</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2320</v>
      </c>
      <c r="B2" s="1418" t="e">
        <f ca="1">IF(C2="——",IF(B37="元/平方米",ROUND(C39*D3/10000,0),ROUND(F3*C39/10000,0)),IF(B37="元/平方米",ROUND(C39*D3/10000,0),ROUND(F3*C39/10000,0))-D2)</f>
        <v>#DIV/0!</v>
      </c>
      <c r="C2" s="2585"/>
      <c r="D2" s="1124" t="e">
        <f ca="1">SUMIF(INDIRECT("'"&amp;F2&amp;"'"&amp;"!A:A"),"承租人权益价值",INDIRECT("'"&amp;F2&amp;"'"&amp;"!c:c"))</f>
        <v>#REF!</v>
      </c>
      <c r="E2" s="2586" t="s">
        <v>2321</v>
      </c>
      <c r="F2" s="2587"/>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2322</v>
      </c>
      <c r="B3" s="609" t="e">
        <f ca="1">IF(AND(C2="——",B37="元/平方米"),C39,ROUND(B2*10000/D3,0))</f>
        <v>#DIV/0!</v>
      </c>
      <c r="C3" s="400" t="s">
        <v>2637</v>
      </c>
      <c r="D3" s="399">
        <f>SUMIF('数据-汇总表'!$C19:$C33,D1,'数据-汇总表'!$E19:$E33)</f>
        <v>0</v>
      </c>
      <c r="E3" s="400" t="s">
        <v>2701</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2638</v>
      </c>
      <c r="B4" s="402"/>
      <c r="C4" s="3358" t="s">
        <v>2639</v>
      </c>
      <c r="D4" s="3359"/>
      <c r="E4" s="3360" t="s">
        <v>2640</v>
      </c>
      <c r="F4" s="3361"/>
      <c r="G4" s="3358" t="s">
        <v>2641</v>
      </c>
      <c r="H4" s="3359"/>
      <c r="I4" s="3358" t="s">
        <v>2642</v>
      </c>
      <c r="J4" s="3359"/>
      <c r="K4" s="610" t="s">
        <v>2643</v>
      </c>
      <c r="L4" s="1130"/>
      <c r="M4" s="1131"/>
      <c r="N4" s="1131"/>
      <c r="O4" s="1131"/>
      <c r="P4" s="3362" t="s">
        <v>2644</v>
      </c>
      <c r="Q4" s="3363"/>
      <c r="R4" s="3375" t="s">
        <v>2640</v>
      </c>
      <c r="S4" s="3376"/>
      <c r="T4" s="3375" t="s">
        <v>2641</v>
      </c>
      <c r="U4" s="3376"/>
      <c r="V4" s="3350" t="s">
        <v>2642</v>
      </c>
      <c r="W4" s="3350"/>
      <c r="X4" s="1813"/>
      <c r="Y4" s="3375" t="s">
        <v>2644</v>
      </c>
      <c r="Z4" s="3376"/>
      <c r="AA4" s="3355" t="s">
        <v>2640</v>
      </c>
      <c r="AB4" s="3356" t="s">
        <v>2641</v>
      </c>
      <c r="AC4" s="3355" t="s">
        <v>2642</v>
      </c>
    </row>
    <row r="5" spans="1:29" ht="15">
      <c r="A5" s="404"/>
      <c r="B5" s="405"/>
      <c r="C5" s="3379" t="s">
        <v>2535</v>
      </c>
      <c r="D5" s="3380"/>
      <c r="E5" s="3368" t="s">
        <v>2536</v>
      </c>
      <c r="F5" s="3369"/>
      <c r="G5" s="3379" t="s">
        <v>2537</v>
      </c>
      <c r="H5" s="3380"/>
      <c r="I5" s="3379" t="s">
        <v>2538</v>
      </c>
      <c r="J5" s="3380"/>
      <c r="K5" s="610"/>
      <c r="L5" s="1130"/>
      <c r="M5" s="1131"/>
      <c r="N5" s="1131"/>
      <c r="O5" s="1131"/>
      <c r="P5" s="3364"/>
      <c r="Q5" s="3365"/>
      <c r="R5" s="3377"/>
      <c r="S5" s="3378"/>
      <c r="T5" s="3377"/>
      <c r="U5" s="3378"/>
      <c r="V5" s="3350"/>
      <c r="W5" s="3350"/>
      <c r="X5" s="1813"/>
      <c r="Y5" s="3377"/>
      <c r="Z5" s="3378"/>
      <c r="AA5" s="3356"/>
      <c r="AB5" s="3356"/>
      <c r="AC5" s="3356"/>
    </row>
    <row r="6" spans="1:29" ht="15.75" thickBot="1">
      <c r="A6" s="406"/>
      <c r="B6" s="407"/>
      <c r="C6" s="3420" t="s">
        <v>2539</v>
      </c>
      <c r="D6" s="3421"/>
      <c r="E6" s="3422" t="s">
        <v>2539</v>
      </c>
      <c r="F6" s="3423"/>
      <c r="G6" s="3420" t="s">
        <v>2539</v>
      </c>
      <c r="H6" s="3421"/>
      <c r="I6" s="3420" t="s">
        <v>2539</v>
      </c>
      <c r="J6" s="3421"/>
      <c r="K6" s="610" t="s">
        <v>2540</v>
      </c>
      <c r="L6" s="1130"/>
      <c r="M6" s="1131"/>
      <c r="N6" s="1131"/>
      <c r="O6" s="1131"/>
      <c r="P6" s="3366"/>
      <c r="Q6" s="3367"/>
      <c r="R6" s="3377"/>
      <c r="S6" s="3378"/>
      <c r="T6" s="3386"/>
      <c r="U6" s="3387"/>
      <c r="V6" s="3350"/>
      <c r="W6" s="3350"/>
      <c r="X6" s="1813"/>
      <c r="Y6" s="3386"/>
      <c r="Z6" s="3387"/>
      <c r="AA6" s="3357"/>
      <c r="AB6" s="3357"/>
      <c r="AC6" s="3357"/>
    </row>
    <row r="7" spans="1:29" s="117" customFormat="1" ht="15.75" thickBot="1">
      <c r="A7" s="408" t="s">
        <v>2541</v>
      </c>
      <c r="B7" s="409"/>
      <c r="C7" s="410">
        <f>'数据-取费表'!B2</f>
        <v>43544</v>
      </c>
      <c r="D7" s="411">
        <v>100</v>
      </c>
      <c r="E7" s="412"/>
      <c r="F7" s="413">
        <f>SUMIF(48:48,YEAR(E7)&amp;"-"&amp;MONTH(E7),49:49)</f>
        <v>0</v>
      </c>
      <c r="G7" s="412"/>
      <c r="H7" s="411">
        <f>SUMIF(48:48,YEAR(G7)&amp;"-"&amp;MONTH(G7),49:49)</f>
        <v>0</v>
      </c>
      <c r="I7" s="412"/>
      <c r="J7" s="411">
        <f>SUMIF(48:48,YEAR(I7)&amp;"-"&amp;MONTH(I7),49:49)</f>
        <v>0</v>
      </c>
      <c r="K7" s="611"/>
      <c r="L7" s="1132"/>
      <c r="M7" s="1133"/>
      <c r="N7" s="1133"/>
      <c r="O7" s="1133"/>
      <c r="P7" s="3370" t="s">
        <v>2542</v>
      </c>
      <c r="Q7" s="3383"/>
      <c r="R7" s="770" t="s">
        <v>17</v>
      </c>
      <c r="S7" s="771">
        <f t="shared" ref="S7:S14" si="0">F7</f>
        <v>0</v>
      </c>
      <c r="T7" s="770" t="s">
        <v>17</v>
      </c>
      <c r="U7" s="771">
        <f t="shared" ref="U7:U14" si="1">H7</f>
        <v>0</v>
      </c>
      <c r="V7" s="770" t="s">
        <v>17</v>
      </c>
      <c r="W7" s="771">
        <f t="shared" ref="W7:W14" si="2">J7</f>
        <v>0</v>
      </c>
      <c r="X7" s="772"/>
      <c r="Y7" s="3370" t="s">
        <v>2542</v>
      </c>
      <c r="Z7" s="3371"/>
      <c r="AA7" s="773" t="e">
        <f>D7/F7</f>
        <v>#DIV/0!</v>
      </c>
      <c r="AB7" s="773" t="e">
        <f>D7/H7</f>
        <v>#DIV/0!</v>
      </c>
      <c r="AC7" s="773" t="e">
        <f>D7/J7</f>
        <v>#DIV/0!</v>
      </c>
    </row>
    <row r="8" spans="1:29" s="117" customFormat="1" ht="15.75" thickBot="1">
      <c r="A8" s="408" t="s">
        <v>2543</v>
      </c>
      <c r="B8" s="409"/>
      <c r="C8" s="414" t="s">
        <v>2645</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370" t="s">
        <v>2545</v>
      </c>
      <c r="Q8" s="3371"/>
      <c r="R8" s="770" t="s">
        <v>17</v>
      </c>
      <c r="S8" s="771">
        <f t="shared" si="0"/>
        <v>0</v>
      </c>
      <c r="T8" s="770" t="s">
        <v>17</v>
      </c>
      <c r="U8" s="771">
        <f t="shared" si="1"/>
        <v>0</v>
      </c>
      <c r="V8" s="770" t="s">
        <v>17</v>
      </c>
      <c r="W8" s="771">
        <f t="shared" si="2"/>
        <v>0</v>
      </c>
      <c r="X8" s="772"/>
      <c r="Y8" s="3370" t="s">
        <v>2545</v>
      </c>
      <c r="Z8" s="3371"/>
      <c r="AA8" s="773" t="e">
        <f t="shared" ref="AA8:AA36" si="3">D8/F8</f>
        <v>#DIV/0!</v>
      </c>
      <c r="AB8" s="773" t="e">
        <f t="shared" ref="AB8:AB36" si="4">D8/H8</f>
        <v>#DIV/0!</v>
      </c>
      <c r="AC8" s="773" t="e">
        <f t="shared" ref="AC8:AC36" si="5">D8/J8</f>
        <v>#DIV/0!</v>
      </c>
    </row>
    <row r="9" spans="1:29" s="117" customFormat="1">
      <c r="A9" s="68" t="s">
        <v>2546</v>
      </c>
      <c r="B9" s="640" t="s">
        <v>2547</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348" t="s">
        <v>2548</v>
      </c>
      <c r="Q9" s="1795" t="str">
        <f t="shared" ref="Q9:Q14" si="6">B9</f>
        <v>用途</v>
      </c>
      <c r="R9" s="770" t="s">
        <v>17</v>
      </c>
      <c r="S9" s="771">
        <f t="shared" si="0"/>
        <v>100</v>
      </c>
      <c r="T9" s="770" t="s">
        <v>17</v>
      </c>
      <c r="U9" s="771">
        <f t="shared" si="1"/>
        <v>100</v>
      </c>
      <c r="V9" s="770" t="s">
        <v>17</v>
      </c>
      <c r="W9" s="771">
        <f t="shared" si="2"/>
        <v>100</v>
      </c>
      <c r="X9" s="772"/>
      <c r="Y9" s="3204" t="s">
        <v>2549</v>
      </c>
      <c r="Z9" s="55" t="str">
        <f t="shared" ref="Z9:Z14" si="7">Q9</f>
        <v>用途</v>
      </c>
      <c r="AA9" s="773">
        <f t="shared" si="3"/>
        <v>1</v>
      </c>
      <c r="AB9" s="773">
        <f t="shared" si="4"/>
        <v>1</v>
      </c>
      <c r="AC9" s="773">
        <f t="shared" si="5"/>
        <v>1</v>
      </c>
    </row>
    <row r="10" spans="1:29" s="427" customFormat="1" ht="27">
      <c r="A10" s="641"/>
      <c r="B10" s="642" t="s">
        <v>2550</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348"/>
      <c r="Q10" s="1795" t="str">
        <f t="shared" si="6"/>
        <v>土地使用年限（年）</v>
      </c>
      <c r="R10" s="770" t="s">
        <v>17</v>
      </c>
      <c r="S10" s="771">
        <f t="shared" si="0"/>
        <v>100</v>
      </c>
      <c r="T10" s="770" t="s">
        <v>17</v>
      </c>
      <c r="U10" s="771">
        <f t="shared" si="1"/>
        <v>100</v>
      </c>
      <c r="V10" s="770" t="s">
        <v>17</v>
      </c>
      <c r="W10" s="771">
        <f t="shared" si="2"/>
        <v>100</v>
      </c>
      <c r="X10" s="772"/>
      <c r="Y10" s="320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348"/>
      <c r="Q11" s="1795">
        <f t="shared" si="6"/>
        <v>111</v>
      </c>
      <c r="R11" s="770" t="s">
        <v>17</v>
      </c>
      <c r="S11" s="771">
        <f t="shared" si="0"/>
        <v>100</v>
      </c>
      <c r="T11" s="770" t="s">
        <v>17</v>
      </c>
      <c r="U11" s="771">
        <f t="shared" si="1"/>
        <v>100</v>
      </c>
      <c r="V11" s="770" t="s">
        <v>17</v>
      </c>
      <c r="W11" s="771">
        <f t="shared" si="2"/>
        <v>100</v>
      </c>
      <c r="X11" s="772"/>
      <c r="Y11" s="320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348"/>
      <c r="Q12" s="1795">
        <f t="shared" si="6"/>
        <v>111</v>
      </c>
      <c r="R12" s="770" t="s">
        <v>17</v>
      </c>
      <c r="S12" s="771">
        <f t="shared" si="0"/>
        <v>100</v>
      </c>
      <c r="T12" s="770" t="s">
        <v>17</v>
      </c>
      <c r="U12" s="771">
        <f t="shared" si="1"/>
        <v>100</v>
      </c>
      <c r="V12" s="770" t="s">
        <v>17</v>
      </c>
      <c r="W12" s="771">
        <f t="shared" si="2"/>
        <v>100</v>
      </c>
      <c r="X12" s="772"/>
      <c r="Y12" s="320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348"/>
      <c r="Q13" s="1795">
        <f t="shared" si="6"/>
        <v>111</v>
      </c>
      <c r="R13" s="770" t="s">
        <v>17</v>
      </c>
      <c r="S13" s="771">
        <f t="shared" si="0"/>
        <v>100</v>
      </c>
      <c r="T13" s="770" t="s">
        <v>17</v>
      </c>
      <c r="U13" s="771">
        <f t="shared" si="1"/>
        <v>100</v>
      </c>
      <c r="V13" s="770" t="s">
        <v>17</v>
      </c>
      <c r="W13" s="771">
        <f t="shared" si="2"/>
        <v>100</v>
      </c>
      <c r="X13" s="772"/>
      <c r="Y13" s="3204"/>
      <c r="Z13" s="55">
        <f t="shared" si="7"/>
        <v>111</v>
      </c>
      <c r="AA13" s="773">
        <f t="shared" si="3"/>
        <v>1</v>
      </c>
      <c r="AB13" s="773">
        <f t="shared" si="4"/>
        <v>1</v>
      </c>
      <c r="AC13" s="773">
        <f t="shared" si="5"/>
        <v>1</v>
      </c>
    </row>
    <row r="14" spans="1:29" ht="85.5">
      <c r="A14" s="401" t="s">
        <v>2552</v>
      </c>
      <c r="B14" s="629" t="s">
        <v>2702</v>
      </c>
      <c r="C14" s="2692"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351" t="s">
        <v>2553</v>
      </c>
      <c r="Q14" s="1810" t="str">
        <f t="shared" si="6"/>
        <v>交通便捷度</v>
      </c>
      <c r="R14" s="774" t="s">
        <v>17</v>
      </c>
      <c r="S14" s="775">
        <f t="shared" si="0"/>
        <v>100</v>
      </c>
      <c r="T14" s="774" t="s">
        <v>17</v>
      </c>
      <c r="U14" s="775">
        <f t="shared" si="1"/>
        <v>100</v>
      </c>
      <c r="V14" s="774" t="s">
        <v>17</v>
      </c>
      <c r="W14" s="775">
        <f t="shared" si="2"/>
        <v>100</v>
      </c>
      <c r="X14" s="1813"/>
      <c r="Y14" s="3351" t="s">
        <v>2553</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352"/>
      <c r="Q15" s="1810"/>
      <c r="R15" s="774"/>
      <c r="S15" s="775"/>
      <c r="T15" s="774"/>
      <c r="U15" s="775"/>
      <c r="V15" s="774"/>
      <c r="W15" s="775"/>
      <c r="X15" s="1813"/>
      <c r="Y15" s="3352"/>
      <c r="Z15" s="1814"/>
      <c r="AA15" s="1811">
        <v>1</v>
      </c>
      <c r="AB15" s="1811">
        <v>1</v>
      </c>
      <c r="AC15" s="1811">
        <v>1</v>
      </c>
    </row>
    <row r="16" spans="1:29" ht="42.75">
      <c r="A16" s="404"/>
      <c r="B16" s="631" t="s">
        <v>2681</v>
      </c>
      <c r="C16" s="2606"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352"/>
      <c r="Q16" s="1810" t="str">
        <f>B16</f>
        <v>公共配套设施</v>
      </c>
      <c r="R16" s="774" t="s">
        <v>17</v>
      </c>
      <c r="S16" s="775">
        <f>F16</f>
        <v>100</v>
      </c>
      <c r="T16" s="774" t="s">
        <v>17</v>
      </c>
      <c r="U16" s="775">
        <f>H16</f>
        <v>100</v>
      </c>
      <c r="V16" s="774" t="s">
        <v>17</v>
      </c>
      <c r="W16" s="775">
        <f>J16</f>
        <v>100</v>
      </c>
      <c r="X16" s="1813"/>
      <c r="Y16" s="3352"/>
      <c r="Z16" s="1814" t="str">
        <f>Q16</f>
        <v>公共配套设施</v>
      </c>
      <c r="AA16" s="1811">
        <f t="shared" si="3"/>
        <v>1</v>
      </c>
      <c r="AB16" s="1811">
        <f t="shared" si="4"/>
        <v>1</v>
      </c>
      <c r="AC16" s="1811">
        <f t="shared" si="5"/>
        <v>1</v>
      </c>
    </row>
    <row r="17" spans="1:29" ht="15">
      <c r="A17" s="404"/>
      <c r="B17" s="632"/>
      <c r="C17" s="2607"/>
      <c r="D17" s="448"/>
      <c r="E17" s="447"/>
      <c r="F17" s="449"/>
      <c r="G17" s="447"/>
      <c r="H17" s="448"/>
      <c r="I17" s="447"/>
      <c r="J17" s="448"/>
      <c r="K17" s="615"/>
      <c r="L17" s="1140"/>
      <c r="M17" s="1131"/>
      <c r="N17" s="1131"/>
      <c r="O17" s="1131"/>
      <c r="P17" s="3352"/>
      <c r="Q17" s="1810"/>
      <c r="R17" s="774"/>
      <c r="S17" s="775"/>
      <c r="T17" s="774"/>
      <c r="U17" s="775"/>
      <c r="V17" s="774"/>
      <c r="W17" s="775"/>
      <c r="X17" s="1813"/>
      <c r="Y17" s="3352"/>
      <c r="Z17" s="1814"/>
      <c r="AA17" s="1811">
        <v>1</v>
      </c>
      <c r="AB17" s="1811">
        <v>1</v>
      </c>
      <c r="AC17" s="1811">
        <v>1</v>
      </c>
    </row>
    <row r="18" spans="1:29" ht="28.5">
      <c r="A18" s="404"/>
      <c r="B18" s="633" t="s">
        <v>2682</v>
      </c>
      <c r="C18" s="2606"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352"/>
      <c r="Q18" s="1810" t="str">
        <f>B18</f>
        <v>基础设施水平</v>
      </c>
      <c r="R18" s="774" t="s">
        <v>17</v>
      </c>
      <c r="S18" s="775">
        <f>F18</f>
        <v>100</v>
      </c>
      <c r="T18" s="774" t="s">
        <v>17</v>
      </c>
      <c r="U18" s="775">
        <f>H18</f>
        <v>100</v>
      </c>
      <c r="V18" s="774" t="s">
        <v>17</v>
      </c>
      <c r="W18" s="775">
        <f>J18</f>
        <v>100</v>
      </c>
      <c r="X18" s="1813"/>
      <c r="Y18" s="3352"/>
      <c r="Z18" s="1814" t="str">
        <f>Q18</f>
        <v>基础设施水平</v>
      </c>
      <c r="AA18" s="1811">
        <f t="shared" ref="AA18" si="8">D18/F18</f>
        <v>1</v>
      </c>
      <c r="AB18" s="1811">
        <f t="shared" ref="AB18" si="9">D18/H18</f>
        <v>1</v>
      </c>
      <c r="AC18" s="1811">
        <f t="shared" ref="AC18" si="10">D18/J18</f>
        <v>1</v>
      </c>
    </row>
    <row r="19" spans="1:29" ht="15">
      <c r="A19" s="404"/>
      <c r="B19" s="633"/>
      <c r="C19" s="2607"/>
      <c r="D19" s="450"/>
      <c r="E19" s="2607"/>
      <c r="F19" s="453"/>
      <c r="G19" s="2607"/>
      <c r="H19" s="448"/>
      <c r="I19" s="447"/>
      <c r="J19" s="448"/>
      <c r="K19" s="1383"/>
      <c r="L19" s="1140"/>
      <c r="M19" s="1131"/>
      <c r="N19" s="1131"/>
      <c r="O19" s="1131"/>
      <c r="P19" s="3352"/>
      <c r="Q19" s="1810"/>
      <c r="R19" s="774"/>
      <c r="S19" s="775"/>
      <c r="T19" s="774"/>
      <c r="U19" s="775"/>
      <c r="V19" s="774"/>
      <c r="W19" s="775"/>
      <c r="X19" s="1813"/>
      <c r="Y19" s="3352"/>
      <c r="Z19" s="1814"/>
      <c r="AA19" s="1811">
        <v>1</v>
      </c>
      <c r="AB19" s="1811">
        <v>1</v>
      </c>
      <c r="AC19" s="1811">
        <v>1</v>
      </c>
    </row>
    <row r="20" spans="1:29" ht="57">
      <c r="A20" s="404"/>
      <c r="B20" s="631" t="s">
        <v>2703</v>
      </c>
      <c r="C20" s="2606"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352"/>
      <c r="Q20" s="1810" t="str">
        <f>B20</f>
        <v>自然及人文环境</v>
      </c>
      <c r="R20" s="774" t="s">
        <v>17</v>
      </c>
      <c r="S20" s="775">
        <f>F20</f>
        <v>100</v>
      </c>
      <c r="T20" s="774" t="s">
        <v>17</v>
      </c>
      <c r="U20" s="775">
        <f>H20</f>
        <v>100</v>
      </c>
      <c r="V20" s="774" t="s">
        <v>17</v>
      </c>
      <c r="W20" s="775">
        <f>J20</f>
        <v>100</v>
      </c>
      <c r="X20" s="1813"/>
      <c r="Y20" s="3352"/>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352"/>
      <c r="Q21" s="1810"/>
      <c r="R21" s="774"/>
      <c r="S21" s="775"/>
      <c r="T21" s="774"/>
      <c r="U21" s="775"/>
      <c r="V21" s="774"/>
      <c r="W21" s="775"/>
      <c r="X21" s="1813"/>
      <c r="Y21" s="3352"/>
      <c r="Z21" s="1814"/>
      <c r="AA21" s="1811">
        <v>1</v>
      </c>
      <c r="AB21" s="1811">
        <v>1</v>
      </c>
      <c r="AC21" s="1811">
        <v>1</v>
      </c>
    </row>
    <row r="22" spans="1:29" ht="15">
      <c r="A22" s="404"/>
      <c r="B22" s="631" t="s">
        <v>2704</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352"/>
      <c r="Q22" s="1810" t="str">
        <f>B22</f>
        <v>楼层</v>
      </c>
      <c r="R22" s="774" t="s">
        <v>17</v>
      </c>
      <c r="S22" s="775">
        <f>F22</f>
        <v>100</v>
      </c>
      <c r="T22" s="774" t="s">
        <v>17</v>
      </c>
      <c r="U22" s="775">
        <f>H22</f>
        <v>100</v>
      </c>
      <c r="V22" s="774" t="s">
        <v>17</v>
      </c>
      <c r="W22" s="775">
        <f>J22</f>
        <v>100</v>
      </c>
      <c r="X22" s="1813"/>
      <c r="Y22" s="3352"/>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352"/>
      <c r="Q23" s="1810">
        <f>B23</f>
        <v>111</v>
      </c>
      <c r="R23" s="774" t="s">
        <v>17</v>
      </c>
      <c r="S23" s="775">
        <f>F23</f>
        <v>100</v>
      </c>
      <c r="T23" s="774" t="s">
        <v>17</v>
      </c>
      <c r="U23" s="775">
        <f>H23</f>
        <v>100</v>
      </c>
      <c r="V23" s="774" t="s">
        <v>17</v>
      </c>
      <c r="W23" s="775">
        <f>J23</f>
        <v>100</v>
      </c>
      <c r="X23" s="1813"/>
      <c r="Y23" s="3352"/>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352"/>
      <c r="Q24" s="1810">
        <f t="shared" ref="Q24:Q36" si="11">B24</f>
        <v>111</v>
      </c>
      <c r="R24" s="774" t="s">
        <v>17</v>
      </c>
      <c r="S24" s="775">
        <f>F24</f>
        <v>100</v>
      </c>
      <c r="T24" s="774" t="s">
        <v>17</v>
      </c>
      <c r="U24" s="775">
        <f>H24</f>
        <v>100</v>
      </c>
      <c r="V24" s="774" t="s">
        <v>17</v>
      </c>
      <c r="W24" s="775">
        <f>J24</f>
        <v>100</v>
      </c>
      <c r="X24" s="1813"/>
      <c r="Y24" s="3352"/>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352"/>
      <c r="Q25" s="1795">
        <f t="shared" si="11"/>
        <v>111</v>
      </c>
      <c r="R25" s="770" t="s">
        <v>17</v>
      </c>
      <c r="S25" s="771">
        <f>F25</f>
        <v>100</v>
      </c>
      <c r="T25" s="770" t="s">
        <v>17</v>
      </c>
      <c r="U25" s="771">
        <f>H25</f>
        <v>100</v>
      </c>
      <c r="V25" s="770" t="s">
        <v>17</v>
      </c>
      <c r="W25" s="771">
        <f>J25</f>
        <v>100</v>
      </c>
      <c r="X25" s="772"/>
      <c r="Y25" s="3352"/>
      <c r="Z25" s="55">
        <f>Q25</f>
        <v>111</v>
      </c>
      <c r="AA25" s="1811">
        <f>D25/F25</f>
        <v>1</v>
      </c>
      <c r="AB25" s="1811">
        <f>D25/H25</f>
        <v>1</v>
      </c>
      <c r="AC25" s="1811">
        <f>D25/J25</f>
        <v>1</v>
      </c>
    </row>
    <row r="26" spans="1:29" ht="28.5">
      <c r="A26" s="652" t="s">
        <v>2556</v>
      </c>
      <c r="B26" s="70" t="s">
        <v>2705</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353" t="s">
        <v>2558</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354" t="s">
        <v>2558</v>
      </c>
      <c r="Z26" s="1814" t="str">
        <f t="shared" ref="Z26:Z36" si="15">Q26</f>
        <v>配套类型</v>
      </c>
      <c r="AA26" s="1811">
        <f t="shared" si="3"/>
        <v>1</v>
      </c>
      <c r="AB26" s="1811">
        <f t="shared" si="4"/>
        <v>1</v>
      </c>
      <c r="AC26" s="1811">
        <f t="shared" si="5"/>
        <v>1</v>
      </c>
    </row>
    <row r="27" spans="1:29" s="471" customFormat="1" ht="15">
      <c r="A27" s="653"/>
      <c r="B27" s="654" t="s">
        <v>2706</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354"/>
      <c r="Q27" s="776" t="str">
        <f t="shared" si="11"/>
        <v>项目停车位配比</v>
      </c>
      <c r="R27" s="777" t="s">
        <v>17</v>
      </c>
      <c r="S27" s="778">
        <f t="shared" si="12"/>
        <v>100</v>
      </c>
      <c r="T27" s="777" t="s">
        <v>17</v>
      </c>
      <c r="U27" s="778">
        <f t="shared" si="13"/>
        <v>100</v>
      </c>
      <c r="V27" s="777" t="s">
        <v>17</v>
      </c>
      <c r="W27" s="778">
        <f t="shared" si="14"/>
        <v>100</v>
      </c>
      <c r="X27" s="779"/>
      <c r="Y27" s="3354"/>
      <c r="Z27" s="780" t="str">
        <f t="shared" si="15"/>
        <v>项目停车位配比</v>
      </c>
      <c r="AA27" s="1811">
        <f t="shared" si="3"/>
        <v>1</v>
      </c>
      <c r="AB27" s="1811">
        <f t="shared" si="4"/>
        <v>1</v>
      </c>
      <c r="AC27" s="1811">
        <f t="shared" si="5"/>
        <v>1</v>
      </c>
    </row>
    <row r="28" spans="1:29" ht="15">
      <c r="A28" s="656"/>
      <c r="B28" s="654" t="s">
        <v>2707</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354"/>
      <c r="Q28" s="1810" t="str">
        <f t="shared" si="11"/>
        <v>公共部分装修</v>
      </c>
      <c r="R28" s="774" t="s">
        <v>17</v>
      </c>
      <c r="S28" s="775">
        <f t="shared" si="12"/>
        <v>100</v>
      </c>
      <c r="T28" s="774" t="s">
        <v>17</v>
      </c>
      <c r="U28" s="775">
        <f t="shared" si="13"/>
        <v>100</v>
      </c>
      <c r="V28" s="774" t="s">
        <v>17</v>
      </c>
      <c r="W28" s="775">
        <f t="shared" si="14"/>
        <v>100</v>
      </c>
      <c r="X28" s="1813"/>
      <c r="Y28" s="3354"/>
      <c r="Z28" s="1814" t="str">
        <f t="shared" si="15"/>
        <v>公共部分装修</v>
      </c>
      <c r="AA28" s="1811">
        <f t="shared" si="3"/>
        <v>1</v>
      </c>
      <c r="AB28" s="1811">
        <f t="shared" si="4"/>
        <v>1</v>
      </c>
      <c r="AC28" s="1811">
        <f t="shared" si="5"/>
        <v>1</v>
      </c>
    </row>
    <row r="29" spans="1:29" ht="15">
      <c r="A29" s="656"/>
      <c r="B29" s="654" t="s">
        <v>2708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354"/>
      <c r="Q29" s="1810" t="str">
        <f t="shared" si="11"/>
        <v>成新率</v>
      </c>
      <c r="R29" s="774" t="s">
        <v>17</v>
      </c>
      <c r="S29" s="775" t="e">
        <f t="shared" si="12"/>
        <v>#N/A</v>
      </c>
      <c r="T29" s="774" t="s">
        <v>17</v>
      </c>
      <c r="U29" s="775" t="e">
        <f t="shared" si="13"/>
        <v>#N/A</v>
      </c>
      <c r="V29" s="774" t="s">
        <v>17</v>
      </c>
      <c r="W29" s="775" t="e">
        <f t="shared" si="14"/>
        <v>#N/A</v>
      </c>
      <c r="X29" s="1813"/>
      <c r="Y29" s="3354"/>
      <c r="Z29" s="1814" t="str">
        <f t="shared" si="15"/>
        <v>成新率</v>
      </c>
      <c r="AA29" s="1811" t="e">
        <f t="shared" si="3"/>
        <v>#N/A</v>
      </c>
      <c r="AB29" s="1811" t="e">
        <f t="shared" si="4"/>
        <v>#N/A</v>
      </c>
      <c r="AC29" s="1811" t="e">
        <f t="shared" si="5"/>
        <v>#N/A</v>
      </c>
    </row>
    <row r="30" spans="1:29" ht="15">
      <c r="A30" s="656"/>
      <c r="B30" s="654" t="s">
        <v>2709</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354"/>
      <c r="Q30" s="1810" t="str">
        <f t="shared" si="11"/>
        <v>物业等级</v>
      </c>
      <c r="R30" s="774" t="s">
        <v>17</v>
      </c>
      <c r="S30" s="775">
        <f t="shared" si="12"/>
        <v>100</v>
      </c>
      <c r="T30" s="774" t="s">
        <v>17</v>
      </c>
      <c r="U30" s="775">
        <f t="shared" si="13"/>
        <v>100</v>
      </c>
      <c r="V30" s="774" t="s">
        <v>17</v>
      </c>
      <c r="W30" s="775">
        <f t="shared" si="14"/>
        <v>100</v>
      </c>
      <c r="X30" s="1813"/>
      <c r="Y30" s="3354"/>
      <c r="Z30" s="1814" t="str">
        <f t="shared" si="15"/>
        <v>物业等级</v>
      </c>
      <c r="AA30" s="1811">
        <f t="shared" si="3"/>
        <v>1</v>
      </c>
      <c r="AB30" s="1811">
        <f t="shared" si="4"/>
        <v>1</v>
      </c>
      <c r="AC30" s="1811">
        <f t="shared" si="5"/>
        <v>1</v>
      </c>
    </row>
    <row r="31" spans="1:29" s="117" customFormat="1" ht="15">
      <c r="A31" s="658"/>
      <c r="B31" s="654" t="s">
        <v>2710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354"/>
      <c r="Q31" s="1795" t="str">
        <f t="shared" si="11"/>
        <v>停车位面积</v>
      </c>
      <c r="R31" s="770" t="s">
        <v>17</v>
      </c>
      <c r="S31" s="771" t="e">
        <f t="shared" si="12"/>
        <v>#N/A</v>
      </c>
      <c r="T31" s="770" t="s">
        <v>17</v>
      </c>
      <c r="U31" s="771" t="e">
        <f t="shared" si="13"/>
        <v>#N/A</v>
      </c>
      <c r="V31" s="770" t="s">
        <v>17</v>
      </c>
      <c r="W31" s="771" t="e">
        <f t="shared" si="14"/>
        <v>#N/A</v>
      </c>
      <c r="X31" s="772"/>
      <c r="Y31" s="3354"/>
      <c r="Z31" s="55" t="str">
        <f t="shared" si="15"/>
        <v>停车位面积</v>
      </c>
      <c r="AA31" s="773" t="e">
        <f t="shared" si="3"/>
        <v>#N/A</v>
      </c>
      <c r="AB31" s="773" t="e">
        <f t="shared" si="4"/>
        <v>#N/A</v>
      </c>
      <c r="AC31" s="773" t="e">
        <f t="shared" si="5"/>
        <v>#N/A</v>
      </c>
    </row>
    <row r="32" spans="1:29" ht="15">
      <c r="A32" s="656"/>
      <c r="B32" s="654" t="s">
        <v>2711</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354" t="s">
        <v>2558</v>
      </c>
      <c r="Q32" s="1810" t="str">
        <f t="shared" si="11"/>
        <v>车位类型</v>
      </c>
      <c r="R32" s="774" t="s">
        <v>17</v>
      </c>
      <c r="S32" s="775">
        <f t="shared" si="12"/>
        <v>100</v>
      </c>
      <c r="T32" s="774" t="s">
        <v>17</v>
      </c>
      <c r="U32" s="775">
        <f t="shared" si="13"/>
        <v>100</v>
      </c>
      <c r="V32" s="774" t="s">
        <v>17</v>
      </c>
      <c r="W32" s="775">
        <f t="shared" si="14"/>
        <v>100</v>
      </c>
      <c r="X32" s="1813"/>
      <c r="Y32" s="3354" t="s">
        <v>2558</v>
      </c>
      <c r="Z32" s="1814" t="str">
        <f t="shared" si="15"/>
        <v>车位类型</v>
      </c>
      <c r="AA32" s="1811">
        <f t="shared" si="3"/>
        <v>1</v>
      </c>
      <c r="AB32" s="1811">
        <f t="shared" si="4"/>
        <v>1</v>
      </c>
      <c r="AC32" s="1811">
        <f t="shared" si="5"/>
        <v>1</v>
      </c>
    </row>
    <row r="33" spans="1:29" ht="15">
      <c r="A33" s="656"/>
      <c r="B33" s="654" t="s">
        <v>2712</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354"/>
      <c r="Q33" s="1810" t="str">
        <f t="shared" si="11"/>
        <v>是否直接入户</v>
      </c>
      <c r="R33" s="774" t="s">
        <v>17</v>
      </c>
      <c r="S33" s="775">
        <f t="shared" si="12"/>
        <v>100</v>
      </c>
      <c r="T33" s="774" t="s">
        <v>17</v>
      </c>
      <c r="U33" s="775">
        <f t="shared" si="13"/>
        <v>100</v>
      </c>
      <c r="V33" s="774" t="s">
        <v>17</v>
      </c>
      <c r="W33" s="775">
        <f t="shared" si="14"/>
        <v>100</v>
      </c>
      <c r="X33" s="1813"/>
      <c r="Y33" s="3354"/>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354"/>
      <c r="Q34" s="1810">
        <f t="shared" si="11"/>
        <v>111</v>
      </c>
      <c r="R34" s="774" t="s">
        <v>17</v>
      </c>
      <c r="S34" s="775">
        <f t="shared" si="12"/>
        <v>100</v>
      </c>
      <c r="T34" s="774" t="s">
        <v>17</v>
      </c>
      <c r="U34" s="775">
        <f t="shared" si="13"/>
        <v>100</v>
      </c>
      <c r="V34" s="774" t="s">
        <v>17</v>
      </c>
      <c r="W34" s="775">
        <f t="shared" si="14"/>
        <v>100</v>
      </c>
      <c r="X34" s="1813"/>
      <c r="Y34" s="3354"/>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354"/>
      <c r="Q35" s="776">
        <f t="shared" si="11"/>
        <v>111</v>
      </c>
      <c r="R35" s="777" t="s">
        <v>17</v>
      </c>
      <c r="S35" s="778">
        <f t="shared" si="12"/>
        <v>100</v>
      </c>
      <c r="T35" s="777" t="s">
        <v>17</v>
      </c>
      <c r="U35" s="778">
        <f t="shared" si="13"/>
        <v>100</v>
      </c>
      <c r="V35" s="777" t="s">
        <v>17</v>
      </c>
      <c r="W35" s="778">
        <f t="shared" si="14"/>
        <v>100</v>
      </c>
      <c r="X35" s="779"/>
      <c r="Y35" s="3354"/>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354"/>
      <c r="Q36" s="1810">
        <f t="shared" si="11"/>
        <v>111</v>
      </c>
      <c r="R36" s="774" t="s">
        <v>17</v>
      </c>
      <c r="S36" s="775">
        <f t="shared" si="12"/>
        <v>100</v>
      </c>
      <c r="T36" s="774" t="s">
        <v>17</v>
      </c>
      <c r="U36" s="775">
        <f t="shared" si="13"/>
        <v>100</v>
      </c>
      <c r="V36" s="774" t="s">
        <v>17</v>
      </c>
      <c r="W36" s="775">
        <f t="shared" si="14"/>
        <v>100</v>
      </c>
      <c r="X36" s="1813"/>
      <c r="Y36" s="3354"/>
      <c r="Z36" s="1814">
        <f t="shared" si="15"/>
        <v>111</v>
      </c>
      <c r="AA36" s="1811">
        <f t="shared" si="3"/>
        <v>1</v>
      </c>
      <c r="AB36" s="1811">
        <f t="shared" si="4"/>
        <v>1</v>
      </c>
      <c r="AC36" s="1811">
        <f t="shared" si="5"/>
        <v>1</v>
      </c>
    </row>
    <row r="37" spans="1:29" ht="15">
      <c r="A37" s="479" t="s">
        <v>2713</v>
      </c>
      <c r="B37" s="2694" t="s">
        <v>2714</v>
      </c>
      <c r="C37" s="1407" t="s">
        <v>1</v>
      </c>
      <c r="D37" s="1408"/>
      <c r="E37" s="1409"/>
      <c r="F37" s="1410"/>
      <c r="G37" s="1411"/>
      <c r="H37" s="1412"/>
      <c r="I37" s="1409"/>
      <c r="J37" s="1412"/>
      <c r="K37" s="619"/>
      <c r="L37" s="1143"/>
      <c r="M37" s="1144"/>
      <c r="N37" s="1131"/>
      <c r="O37" s="1144"/>
      <c r="P37" s="3348" t="str">
        <f>A37</f>
        <v>成交单价</v>
      </c>
      <c r="Q37" s="3348"/>
      <c r="R37" s="3425">
        <f>E37</f>
        <v>0</v>
      </c>
      <c r="S37" s="3425"/>
      <c r="T37" s="3425">
        <f>G37</f>
        <v>0</v>
      </c>
      <c r="U37" s="3425"/>
      <c r="V37" s="3425">
        <f>I37</f>
        <v>0</v>
      </c>
      <c r="W37" s="3425"/>
      <c r="X37" s="759"/>
      <c r="Y37" s="781"/>
      <c r="Z37" s="759"/>
      <c r="AA37" s="759"/>
      <c r="AB37" s="759"/>
      <c r="AC37" s="759"/>
    </row>
    <row r="38" spans="1:29" ht="15.75" thickBot="1">
      <c r="A38" s="486" t="s">
        <v>2715</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348" t="str">
        <f>A38</f>
        <v>比较价值（元/平方米）</v>
      </c>
      <c r="Q38" s="3348"/>
      <c r="R38" s="3425" t="e">
        <f>IF(F1="售价",ROUND(PRODUCT(R37,AA7:AA36),0),ROUND(PRODUCT(R37,AA7:AA36),1))</f>
        <v>#DIV/0!</v>
      </c>
      <c r="S38" s="3425"/>
      <c r="T38" s="3425" t="e">
        <f>IF(F1="售价",ROUND(PRODUCT(T37,AB7:AB36),0),ROUND(PRODUCT(T37,AB7:AB36),1))</f>
        <v>#DIV/0!</v>
      </c>
      <c r="U38" s="3425"/>
      <c r="V38" s="3425" t="e">
        <f>IF(F1="售价",ROUND(PRODUCT(V37,AC7:AC36),0),ROUND(PRODUCT(V37,AC7:AC36),1))</f>
        <v>#DIV/0!</v>
      </c>
      <c r="W38" s="3425"/>
      <c r="X38" s="759"/>
      <c r="Y38" s="759"/>
      <c r="Z38" s="759"/>
      <c r="AA38" s="759"/>
      <c r="AB38" s="759"/>
      <c r="AC38" s="759"/>
    </row>
    <row r="39" spans="1:29" ht="15.75" thickBot="1">
      <c r="A39" s="492" t="s">
        <v>2716</v>
      </c>
      <c r="B39" s="493"/>
      <c r="C39" s="1417" t="e">
        <f>R39</f>
        <v>#DIV/0!</v>
      </c>
      <c r="D39" s="1417"/>
      <c r="E39" s="1417"/>
      <c r="F39" s="1417"/>
      <c r="G39" s="1417"/>
      <c r="H39" s="1417"/>
      <c r="I39" s="1417"/>
      <c r="J39" s="1417"/>
      <c r="K39" s="621"/>
      <c r="L39" s="1143"/>
      <c r="M39" s="1144"/>
      <c r="N39" s="1144"/>
      <c r="O39" s="1144"/>
      <c r="P39" s="3345" t="str">
        <f>A39</f>
        <v>估价对象XX用房的比较价值（楼面单价，元/平方米）</v>
      </c>
      <c r="Q39" s="3346"/>
      <c r="R39" s="3424" t="e">
        <f>IF(F1="售价",ROUND(AVERAGE(R38:V38),0),ROUND(AVERAGE(R38:V38),1))</f>
        <v>#DIV/0!</v>
      </c>
      <c r="S39" s="3424"/>
      <c r="T39" s="3424"/>
      <c r="U39" s="3424"/>
      <c r="V39" s="3424"/>
      <c r="W39" s="3424"/>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2720</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2721</v>
      </c>
      <c r="B48" s="506"/>
      <c r="C48" s="1574" t="str">
        <f>YEAR(C7)&amp;"-"&amp;MONTH(C7)</f>
        <v>2019-3</v>
      </c>
      <c r="D48" s="1575">
        <f>EDATE(C48,-1)</f>
        <v>43497</v>
      </c>
      <c r="E48" s="1575">
        <f t="shared" ref="E48:O48" si="16">EDATE(D48,-1)</f>
        <v>43466</v>
      </c>
      <c r="F48" s="1575">
        <f t="shared" si="16"/>
        <v>43435</v>
      </c>
      <c r="G48" s="1575">
        <f t="shared" si="16"/>
        <v>43405</v>
      </c>
      <c r="H48" s="1575">
        <f t="shared" si="16"/>
        <v>43374</v>
      </c>
      <c r="I48" s="1575">
        <f t="shared" si="16"/>
        <v>43344</v>
      </c>
      <c r="J48" s="1575">
        <f t="shared" si="16"/>
        <v>43313</v>
      </c>
      <c r="K48" s="1575">
        <f t="shared" si="16"/>
        <v>43282</v>
      </c>
      <c r="L48" s="1575">
        <f t="shared" si="16"/>
        <v>43252</v>
      </c>
      <c r="M48" s="1575">
        <f t="shared" si="16"/>
        <v>43221</v>
      </c>
      <c r="N48" s="1575">
        <f t="shared" si="16"/>
        <v>43191</v>
      </c>
      <c r="O48" s="1575">
        <f t="shared" si="16"/>
        <v>43160</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2578</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2543</v>
      </c>
      <c r="B51" s="510"/>
      <c r="C51" s="522" t="s">
        <v>2645</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2581</v>
      </c>
      <c r="B53" s="528" t="s">
        <v>2547</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2550</v>
      </c>
      <c r="C55" s="539" t="s">
        <v>2582</v>
      </c>
      <c r="D55" s="539" t="s">
        <v>2583</v>
      </c>
      <c r="E55" s="539" t="s">
        <v>2584</v>
      </c>
      <c r="F55" s="539" t="s">
        <v>2585</v>
      </c>
      <c r="G55" s="539" t="s">
        <v>2586</v>
      </c>
      <c r="H55" s="539" t="s">
        <v>2587</v>
      </c>
      <c r="I55" s="539" t="s">
        <v>2588</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2552</v>
      </c>
      <c r="B63" s="528" t="s">
        <v>2595</v>
      </c>
      <c r="C63" s="573" t="s">
        <v>2590</v>
      </c>
      <c r="D63" s="573" t="s">
        <v>2591</v>
      </c>
      <c r="E63" s="573" t="s">
        <v>2592</v>
      </c>
      <c r="F63" s="573" t="s">
        <v>2593</v>
      </c>
      <c r="G63" s="573" t="s">
        <v>2594</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2596</v>
      </c>
      <c r="C65" s="578" t="s">
        <v>2590</v>
      </c>
      <c r="D65" s="578" t="s">
        <v>2591</v>
      </c>
      <c r="E65" s="578" t="s">
        <v>2592</v>
      </c>
      <c r="F65" s="578" t="s">
        <v>2593</v>
      </c>
      <c r="G65" s="578" t="s">
        <v>2594</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2682</v>
      </c>
      <c r="C67" s="660" t="s">
        <v>2668</v>
      </c>
      <c r="D67" s="660" t="s">
        <v>2669</v>
      </c>
      <c r="E67" s="660" t="s">
        <v>2670</v>
      </c>
      <c r="F67" s="660" t="s">
        <v>2671</v>
      </c>
      <c r="G67" s="660" t="s">
        <v>2672</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2602</v>
      </c>
      <c r="C69" s="578" t="s">
        <v>2590</v>
      </c>
      <c r="D69" s="578" t="s">
        <v>2591</v>
      </c>
      <c r="E69" s="578" t="s">
        <v>2592</v>
      </c>
      <c r="F69" s="578" t="s">
        <v>2593</v>
      </c>
      <c r="G69" s="578" t="s">
        <v>2594</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2722</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2556</v>
      </c>
      <c r="B79" s="528" t="s">
        <v>2723</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2724</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2609</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2726</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2728</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2729</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2700</v>
      </c>
      <c r="B1" s="1619"/>
      <c r="C1" s="1620" t="s">
        <v>2523</v>
      </c>
      <c r="D1" s="1621"/>
      <c r="E1" s="1630"/>
      <c r="F1" s="2583"/>
      <c r="G1" s="1631" t="s">
        <v>2636</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2320</v>
      </c>
      <c r="B2" s="1418" t="e">
        <f ca="1">IF(C2="——",ROUND(C37*D3/10000,0),ROUND(C37*D3/10000,0)-D2)</f>
        <v>#DIV/0!</v>
      </c>
      <c r="C2" s="2585"/>
      <c r="D2" s="1124" t="e">
        <f ca="1">SUMIF(INDIRECT("'"&amp;F2&amp;"'"&amp;"!A:A"),"承租人权益价值",INDIRECT("'"&amp;F2&amp;"'"&amp;"!c:c"))</f>
        <v>#REF!</v>
      </c>
      <c r="E2" s="2586" t="s">
        <v>2321</v>
      </c>
      <c r="F2" s="2587"/>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2322</v>
      </c>
      <c r="B3" s="609" t="e">
        <f ca="1">IF(C2="——",C37,ROUND(B2*10000/D3,0))</f>
        <v>#DIV/0!</v>
      </c>
      <c r="C3" s="400" t="s">
        <v>2637</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2638</v>
      </c>
      <c r="B4" s="402"/>
      <c r="C4" s="3358" t="s">
        <v>2639</v>
      </c>
      <c r="D4" s="3359"/>
      <c r="E4" s="3360" t="s">
        <v>2640</v>
      </c>
      <c r="F4" s="3361"/>
      <c r="G4" s="3358" t="s">
        <v>2641</v>
      </c>
      <c r="H4" s="3359"/>
      <c r="I4" s="3358" t="s">
        <v>2642</v>
      </c>
      <c r="J4" s="3359"/>
      <c r="K4" s="610" t="s">
        <v>2643</v>
      </c>
      <c r="L4" s="1130"/>
      <c r="M4" s="1131"/>
      <c r="N4" s="1131"/>
      <c r="O4" s="1131"/>
      <c r="P4" s="3362" t="s">
        <v>2644</v>
      </c>
      <c r="Q4" s="3363"/>
      <c r="R4" s="3375" t="s">
        <v>2640</v>
      </c>
      <c r="S4" s="3376"/>
      <c r="T4" s="3375" t="s">
        <v>2641</v>
      </c>
      <c r="U4" s="3376"/>
      <c r="V4" s="3350" t="s">
        <v>2642</v>
      </c>
      <c r="W4" s="3350"/>
      <c r="X4" s="1813"/>
      <c r="Y4" s="3375" t="s">
        <v>2644</v>
      </c>
      <c r="Z4" s="3376"/>
      <c r="AA4" s="3355" t="s">
        <v>2640</v>
      </c>
      <c r="AB4" s="3356" t="s">
        <v>2641</v>
      </c>
      <c r="AC4" s="3355" t="s">
        <v>2642</v>
      </c>
    </row>
    <row r="5" spans="1:29" ht="15">
      <c r="A5" s="404"/>
      <c r="B5" s="405"/>
      <c r="C5" s="3379" t="s">
        <v>2535</v>
      </c>
      <c r="D5" s="3380"/>
      <c r="E5" s="3368" t="s">
        <v>2536</v>
      </c>
      <c r="F5" s="3369"/>
      <c r="G5" s="3379" t="s">
        <v>2537</v>
      </c>
      <c r="H5" s="3380"/>
      <c r="I5" s="3379" t="s">
        <v>2538</v>
      </c>
      <c r="J5" s="3380"/>
      <c r="K5" s="610"/>
      <c r="L5" s="1130"/>
      <c r="M5" s="1131"/>
      <c r="N5" s="1131"/>
      <c r="O5" s="1131"/>
      <c r="P5" s="3364"/>
      <c r="Q5" s="3365"/>
      <c r="R5" s="3377"/>
      <c r="S5" s="3378"/>
      <c r="T5" s="3377"/>
      <c r="U5" s="3378"/>
      <c r="V5" s="3350"/>
      <c r="W5" s="3350"/>
      <c r="X5" s="1813"/>
      <c r="Y5" s="3377"/>
      <c r="Z5" s="3378"/>
      <c r="AA5" s="3356"/>
      <c r="AB5" s="3356"/>
      <c r="AC5" s="3356"/>
    </row>
    <row r="6" spans="1:29" ht="15.75" thickBot="1">
      <c r="A6" s="406"/>
      <c r="B6" s="407"/>
      <c r="C6" s="3420" t="s">
        <v>2539</v>
      </c>
      <c r="D6" s="3421"/>
      <c r="E6" s="3422" t="s">
        <v>2539</v>
      </c>
      <c r="F6" s="3423"/>
      <c r="G6" s="3420" t="s">
        <v>2539</v>
      </c>
      <c r="H6" s="3421"/>
      <c r="I6" s="3420" t="s">
        <v>2539</v>
      </c>
      <c r="J6" s="3421"/>
      <c r="K6" s="610" t="s">
        <v>2540</v>
      </c>
      <c r="L6" s="1130"/>
      <c r="M6" s="1131"/>
      <c r="N6" s="1131"/>
      <c r="O6" s="1131"/>
      <c r="P6" s="3366"/>
      <c r="Q6" s="3367"/>
      <c r="R6" s="3377"/>
      <c r="S6" s="3378"/>
      <c r="T6" s="3386"/>
      <c r="U6" s="3387"/>
      <c r="V6" s="3350"/>
      <c r="W6" s="3350"/>
      <c r="X6" s="1813"/>
      <c r="Y6" s="3386"/>
      <c r="Z6" s="3387"/>
      <c r="AA6" s="3357"/>
      <c r="AB6" s="3357"/>
      <c r="AC6" s="3357"/>
    </row>
    <row r="7" spans="1:29" s="117" customFormat="1" ht="15.75" thickBot="1">
      <c r="A7" s="408" t="s">
        <v>2541</v>
      </c>
      <c r="B7" s="409"/>
      <c r="C7" s="410">
        <f>'数据-取费表'!B2</f>
        <v>43544</v>
      </c>
      <c r="D7" s="411">
        <v>100</v>
      </c>
      <c r="E7" s="412"/>
      <c r="F7" s="413">
        <f>SUMIF(46:46,YEAR(E7)&amp;"-"&amp;MONTH(E7),47:47)</f>
        <v>0</v>
      </c>
      <c r="G7" s="2695"/>
      <c r="H7" s="411">
        <f>SUMIF(46:46,YEAR(G7)&amp;"-"&amp;MONTH(G7),47:47)</f>
        <v>0</v>
      </c>
      <c r="I7" s="412"/>
      <c r="J7" s="411">
        <f>SUMIF(46:46,YEAR(I7)&amp;"-"&amp;MONTH(I7),47:47)</f>
        <v>0</v>
      </c>
      <c r="K7" s="611"/>
      <c r="L7" s="1132"/>
      <c r="M7" s="1133"/>
      <c r="N7" s="1133"/>
      <c r="O7" s="1133"/>
      <c r="P7" s="3370" t="s">
        <v>2542</v>
      </c>
      <c r="Q7" s="3383"/>
      <c r="R7" s="770" t="s">
        <v>17</v>
      </c>
      <c r="S7" s="771">
        <f t="shared" ref="S7:S14" si="0">F7</f>
        <v>0</v>
      </c>
      <c r="T7" s="770" t="s">
        <v>17</v>
      </c>
      <c r="U7" s="771">
        <f t="shared" ref="U7:U14" si="1">H7</f>
        <v>0</v>
      </c>
      <c r="V7" s="770" t="s">
        <v>17</v>
      </c>
      <c r="W7" s="771">
        <f t="shared" ref="W7:W14" si="2">J7</f>
        <v>0</v>
      </c>
      <c r="X7" s="772"/>
      <c r="Y7" s="3370" t="s">
        <v>2542</v>
      </c>
      <c r="Z7" s="3371"/>
      <c r="AA7" s="773" t="e">
        <f>D7/F7</f>
        <v>#DIV/0!</v>
      </c>
      <c r="AB7" s="773" t="e">
        <f>D7/H7</f>
        <v>#DIV/0!</v>
      </c>
      <c r="AC7" s="773" t="e">
        <f>D7/J7</f>
        <v>#DIV/0!</v>
      </c>
    </row>
    <row r="8" spans="1:29" s="117" customFormat="1" ht="15.75" thickBot="1">
      <c r="A8" s="408" t="s">
        <v>2543</v>
      </c>
      <c r="B8" s="409"/>
      <c r="C8" s="414" t="s">
        <v>2645</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370" t="s">
        <v>2545</v>
      </c>
      <c r="Q8" s="3371"/>
      <c r="R8" s="770" t="s">
        <v>17</v>
      </c>
      <c r="S8" s="771">
        <f t="shared" si="0"/>
        <v>0</v>
      </c>
      <c r="T8" s="770" t="s">
        <v>17</v>
      </c>
      <c r="U8" s="771">
        <f t="shared" si="1"/>
        <v>0</v>
      </c>
      <c r="V8" s="770" t="s">
        <v>17</v>
      </c>
      <c r="W8" s="771">
        <f t="shared" si="2"/>
        <v>0</v>
      </c>
      <c r="X8" s="772"/>
      <c r="Y8" s="3370" t="s">
        <v>2545</v>
      </c>
      <c r="Z8" s="3371"/>
      <c r="AA8" s="773" t="e">
        <f t="shared" ref="AA8:AA34" si="3">D8/F8</f>
        <v>#DIV/0!</v>
      </c>
      <c r="AB8" s="773" t="e">
        <f t="shared" ref="AB8:AB34" si="4">D8/H8</f>
        <v>#DIV/0!</v>
      </c>
      <c r="AC8" s="773" t="e">
        <f t="shared" ref="AC8:AC34" si="5">D8/J8</f>
        <v>#DIV/0!</v>
      </c>
    </row>
    <row r="9" spans="1:29" s="117" customFormat="1">
      <c r="A9" s="415" t="s">
        <v>2546</v>
      </c>
      <c r="B9" s="71" t="s">
        <v>2547</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348" t="s">
        <v>2548</v>
      </c>
      <c r="Q9" s="1795" t="str">
        <f t="shared" ref="Q9:Q14" si="6">B9</f>
        <v>用途</v>
      </c>
      <c r="R9" s="770" t="s">
        <v>17</v>
      </c>
      <c r="S9" s="771">
        <f t="shared" si="0"/>
        <v>100</v>
      </c>
      <c r="T9" s="770" t="s">
        <v>17</v>
      </c>
      <c r="U9" s="771">
        <f t="shared" si="1"/>
        <v>100</v>
      </c>
      <c r="V9" s="770" t="s">
        <v>17</v>
      </c>
      <c r="W9" s="771">
        <f t="shared" si="2"/>
        <v>100</v>
      </c>
      <c r="X9" s="772"/>
      <c r="Y9" s="3204" t="s">
        <v>2549</v>
      </c>
      <c r="Z9" s="55" t="str">
        <f t="shared" ref="Z9:Z14" si="7">Q9</f>
        <v>用途</v>
      </c>
      <c r="AA9" s="773">
        <f t="shared" si="3"/>
        <v>1</v>
      </c>
      <c r="AB9" s="773">
        <f t="shared" si="4"/>
        <v>1</v>
      </c>
      <c r="AC9" s="773">
        <f t="shared" si="5"/>
        <v>1</v>
      </c>
    </row>
    <row r="10" spans="1:29" s="427" customFormat="1" ht="27">
      <c r="A10" s="421"/>
      <c r="B10" s="422" t="s">
        <v>2550</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348"/>
      <c r="Q10" s="1795" t="str">
        <f t="shared" si="6"/>
        <v>土地使用年限（年）</v>
      </c>
      <c r="R10" s="770" t="s">
        <v>17</v>
      </c>
      <c r="S10" s="771">
        <f t="shared" si="0"/>
        <v>100</v>
      </c>
      <c r="T10" s="770" t="s">
        <v>17</v>
      </c>
      <c r="U10" s="771">
        <f t="shared" si="1"/>
        <v>100</v>
      </c>
      <c r="V10" s="770" t="s">
        <v>17</v>
      </c>
      <c r="W10" s="771">
        <f t="shared" si="2"/>
        <v>100</v>
      </c>
      <c r="X10" s="772"/>
      <c r="Y10" s="3204"/>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348"/>
      <c r="Q11" s="1795">
        <f t="shared" si="6"/>
        <v>111</v>
      </c>
      <c r="R11" s="770" t="s">
        <v>17</v>
      </c>
      <c r="S11" s="771">
        <f t="shared" si="0"/>
        <v>100</v>
      </c>
      <c r="T11" s="770" t="s">
        <v>17</v>
      </c>
      <c r="U11" s="771">
        <f t="shared" si="1"/>
        <v>100</v>
      </c>
      <c r="V11" s="770" t="s">
        <v>17</v>
      </c>
      <c r="W11" s="771">
        <f t="shared" si="2"/>
        <v>100</v>
      </c>
      <c r="X11" s="772"/>
      <c r="Y11" s="3204"/>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348"/>
      <c r="Q12" s="1795">
        <f t="shared" si="6"/>
        <v>111</v>
      </c>
      <c r="R12" s="770" t="s">
        <v>17</v>
      </c>
      <c r="S12" s="771">
        <f t="shared" si="0"/>
        <v>100</v>
      </c>
      <c r="T12" s="770" t="s">
        <v>17</v>
      </c>
      <c r="U12" s="771">
        <f t="shared" si="1"/>
        <v>100</v>
      </c>
      <c r="V12" s="770" t="s">
        <v>17</v>
      </c>
      <c r="W12" s="771">
        <f t="shared" si="2"/>
        <v>100</v>
      </c>
      <c r="X12" s="772"/>
      <c r="Y12" s="3204"/>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0"/>
      <c r="M13" s="1131"/>
      <c r="N13" s="1131"/>
      <c r="O13" s="1139"/>
      <c r="P13" s="3348"/>
      <c r="Q13" s="1795">
        <f t="shared" si="6"/>
        <v>111</v>
      </c>
      <c r="R13" s="770" t="s">
        <v>17</v>
      </c>
      <c r="S13" s="771">
        <f t="shared" si="0"/>
        <v>100</v>
      </c>
      <c r="T13" s="770" t="s">
        <v>17</v>
      </c>
      <c r="U13" s="771">
        <f t="shared" si="1"/>
        <v>100</v>
      </c>
      <c r="V13" s="770" t="s">
        <v>17</v>
      </c>
      <c r="W13" s="771">
        <f t="shared" si="2"/>
        <v>100</v>
      </c>
      <c r="X13" s="772"/>
      <c r="Y13" s="3204"/>
      <c r="Z13" s="55">
        <f t="shared" si="7"/>
        <v>111</v>
      </c>
      <c r="AA13" s="773">
        <f t="shared" si="3"/>
        <v>1</v>
      </c>
      <c r="AB13" s="773">
        <f t="shared" si="4"/>
        <v>1</v>
      </c>
      <c r="AC13" s="773">
        <f t="shared" si="5"/>
        <v>1</v>
      </c>
    </row>
    <row r="14" spans="1:29" ht="85.5">
      <c r="A14" s="440" t="s">
        <v>2552</v>
      </c>
      <c r="B14" s="69" t="s">
        <v>2702</v>
      </c>
      <c r="C14" s="2692"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351" t="s">
        <v>2553</v>
      </c>
      <c r="Q14" s="1810" t="str">
        <f t="shared" si="6"/>
        <v>交通便捷度</v>
      </c>
      <c r="R14" s="774" t="s">
        <v>17</v>
      </c>
      <c r="S14" s="775">
        <f t="shared" si="0"/>
        <v>100</v>
      </c>
      <c r="T14" s="774" t="s">
        <v>17</v>
      </c>
      <c r="U14" s="775">
        <f t="shared" si="1"/>
        <v>100</v>
      </c>
      <c r="V14" s="774" t="s">
        <v>17</v>
      </c>
      <c r="W14" s="775">
        <f t="shared" si="2"/>
        <v>100</v>
      </c>
      <c r="X14" s="1813"/>
      <c r="Y14" s="3351" t="s">
        <v>2553</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352"/>
      <c r="Q15" s="1810"/>
      <c r="R15" s="774"/>
      <c r="S15" s="775"/>
      <c r="T15" s="774"/>
      <c r="U15" s="775"/>
      <c r="V15" s="774"/>
      <c r="W15" s="775"/>
      <c r="X15" s="1813"/>
      <c r="Y15" s="3352"/>
      <c r="Z15" s="1814"/>
      <c r="AA15" s="1811">
        <v>1</v>
      </c>
      <c r="AB15" s="1811">
        <v>1</v>
      </c>
      <c r="AC15" s="1811">
        <v>1</v>
      </c>
    </row>
    <row r="16" spans="1:29" ht="42.75">
      <c r="A16" s="428"/>
      <c r="B16" s="451" t="s">
        <v>2681</v>
      </c>
      <c r="C16" s="2606"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352"/>
      <c r="Q16" s="1810" t="str">
        <f>B16</f>
        <v>公共配套设施</v>
      </c>
      <c r="R16" s="774" t="s">
        <v>17</v>
      </c>
      <c r="S16" s="775">
        <f>F16</f>
        <v>100</v>
      </c>
      <c r="T16" s="774" t="s">
        <v>17</v>
      </c>
      <c r="U16" s="775">
        <f>H16</f>
        <v>100</v>
      </c>
      <c r="V16" s="774" t="s">
        <v>17</v>
      </c>
      <c r="W16" s="775">
        <f>J16</f>
        <v>100</v>
      </c>
      <c r="X16" s="1813"/>
      <c r="Y16" s="3352"/>
      <c r="Z16" s="1814" t="str">
        <f>Q16</f>
        <v>公共配套设施</v>
      </c>
      <c r="AA16" s="1811">
        <f t="shared" si="3"/>
        <v>1</v>
      </c>
      <c r="AB16" s="1811">
        <f t="shared" si="4"/>
        <v>1</v>
      </c>
      <c r="AC16" s="1811">
        <f t="shared" si="5"/>
        <v>1</v>
      </c>
    </row>
    <row r="17" spans="1:29" ht="15">
      <c r="A17" s="428"/>
      <c r="B17" s="456"/>
      <c r="C17" s="2607"/>
      <c r="D17" s="448"/>
      <c r="E17" s="447"/>
      <c r="F17" s="449"/>
      <c r="G17" s="447"/>
      <c r="H17" s="448"/>
      <c r="I17" s="447"/>
      <c r="J17" s="448"/>
      <c r="K17" s="615"/>
      <c r="L17" s="1140"/>
      <c r="M17" s="1131"/>
      <c r="N17" s="1131"/>
      <c r="O17" s="1139"/>
      <c r="P17" s="3352"/>
      <c r="Q17" s="1810"/>
      <c r="R17" s="774"/>
      <c r="S17" s="775"/>
      <c r="T17" s="774"/>
      <c r="U17" s="775"/>
      <c r="V17" s="774"/>
      <c r="W17" s="775"/>
      <c r="X17" s="1813"/>
      <c r="Y17" s="3352"/>
      <c r="Z17" s="1814"/>
      <c r="AA17" s="1811">
        <v>1</v>
      </c>
      <c r="AB17" s="1811">
        <v>1</v>
      </c>
      <c r="AC17" s="1811">
        <v>1</v>
      </c>
    </row>
    <row r="18" spans="1:29" ht="28.5">
      <c r="A18" s="428"/>
      <c r="B18" s="1384" t="s">
        <v>2682</v>
      </c>
      <c r="C18" s="2606"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352"/>
      <c r="Q18" s="1810" t="str">
        <f>B18</f>
        <v>基础设施水平</v>
      </c>
      <c r="R18" s="774" t="s">
        <v>17</v>
      </c>
      <c r="S18" s="775">
        <f>F18</f>
        <v>100</v>
      </c>
      <c r="T18" s="774" t="s">
        <v>17</v>
      </c>
      <c r="U18" s="775">
        <f>H18</f>
        <v>100</v>
      </c>
      <c r="V18" s="774" t="s">
        <v>17</v>
      </c>
      <c r="W18" s="775">
        <f>J18</f>
        <v>100</v>
      </c>
      <c r="X18" s="1813"/>
      <c r="Y18" s="3352"/>
      <c r="Z18" s="1814" t="str">
        <f>Q18</f>
        <v>基础设施水平</v>
      </c>
      <c r="AA18" s="1811">
        <f t="shared" ref="AA18" si="8">D18/F18</f>
        <v>1</v>
      </c>
      <c r="AB18" s="1811">
        <f t="shared" ref="AB18" si="9">D18/H18</f>
        <v>1</v>
      </c>
      <c r="AC18" s="1811">
        <f t="shared" ref="AC18" si="10">D18/J18</f>
        <v>1</v>
      </c>
    </row>
    <row r="19" spans="1:29" ht="15">
      <c r="A19" s="428"/>
      <c r="B19" s="1384"/>
      <c r="C19" s="2607"/>
      <c r="D19" s="450"/>
      <c r="E19" s="2607"/>
      <c r="F19" s="453"/>
      <c r="G19" s="2607"/>
      <c r="H19" s="448"/>
      <c r="I19" s="447"/>
      <c r="J19" s="448"/>
      <c r="K19" s="1383"/>
      <c r="L19" s="1140"/>
      <c r="M19" s="1131"/>
      <c r="N19" s="1131"/>
      <c r="O19" s="1139"/>
      <c r="P19" s="3352"/>
      <c r="Q19" s="1810"/>
      <c r="R19" s="774"/>
      <c r="S19" s="775"/>
      <c r="T19" s="774"/>
      <c r="U19" s="775"/>
      <c r="V19" s="774"/>
      <c r="W19" s="775"/>
      <c r="X19" s="1813"/>
      <c r="Y19" s="3352"/>
      <c r="Z19" s="1814"/>
      <c r="AA19" s="1811">
        <v>1</v>
      </c>
      <c r="AB19" s="1811">
        <v>1</v>
      </c>
      <c r="AC19" s="1811">
        <v>1</v>
      </c>
    </row>
    <row r="20" spans="1:29" ht="57">
      <c r="A20" s="428"/>
      <c r="B20" s="451" t="s">
        <v>2703</v>
      </c>
      <c r="C20" s="2606"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352"/>
      <c r="Q20" s="1810" t="str">
        <f>B20</f>
        <v>自然及人文环境</v>
      </c>
      <c r="R20" s="774" t="s">
        <v>17</v>
      </c>
      <c r="S20" s="775">
        <f>F20</f>
        <v>100</v>
      </c>
      <c r="T20" s="774" t="s">
        <v>17</v>
      </c>
      <c r="U20" s="775">
        <f>H20</f>
        <v>100</v>
      </c>
      <c r="V20" s="774" t="s">
        <v>17</v>
      </c>
      <c r="W20" s="775">
        <f>J20</f>
        <v>100</v>
      </c>
      <c r="X20" s="1813"/>
      <c r="Y20" s="3352"/>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352"/>
      <c r="Q21" s="1810"/>
      <c r="R21" s="774"/>
      <c r="S21" s="775"/>
      <c r="T21" s="774"/>
      <c r="U21" s="775"/>
      <c r="V21" s="774"/>
      <c r="W21" s="775"/>
      <c r="X21" s="1813"/>
      <c r="Y21" s="3352"/>
      <c r="Z21" s="1814"/>
      <c r="AA21" s="1811">
        <v>1</v>
      </c>
      <c r="AB21" s="1811">
        <v>1</v>
      </c>
      <c r="AC21" s="1811">
        <v>1</v>
      </c>
    </row>
    <row r="22" spans="1:29" ht="15">
      <c r="A22" s="428"/>
      <c r="B22" s="451" t="s">
        <v>2704</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352"/>
      <c r="Q22" s="1810" t="str">
        <f>B22</f>
        <v>楼层</v>
      </c>
      <c r="R22" s="774" t="s">
        <v>17</v>
      </c>
      <c r="S22" s="775">
        <f>F22</f>
        <v>100</v>
      </c>
      <c r="T22" s="774" t="s">
        <v>17</v>
      </c>
      <c r="U22" s="775">
        <f>H22</f>
        <v>100</v>
      </c>
      <c r="V22" s="774" t="s">
        <v>17</v>
      </c>
      <c r="W22" s="775">
        <f>J22</f>
        <v>100</v>
      </c>
      <c r="X22" s="1813"/>
      <c r="Y22" s="3352"/>
      <c r="Z22" s="1814" t="str">
        <f>Q22</f>
        <v>楼层</v>
      </c>
      <c r="AA22" s="1811">
        <f t="shared" si="3"/>
        <v>1</v>
      </c>
      <c r="AB22" s="1811">
        <f t="shared" si="4"/>
        <v>1</v>
      </c>
      <c r="AC22" s="1811">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352"/>
      <c r="Q23" s="1810">
        <f>B23</f>
        <v>111</v>
      </c>
      <c r="R23" s="774" t="s">
        <v>17</v>
      </c>
      <c r="S23" s="775">
        <f>F23</f>
        <v>100</v>
      </c>
      <c r="T23" s="774" t="s">
        <v>17</v>
      </c>
      <c r="U23" s="775">
        <f>H23</f>
        <v>100</v>
      </c>
      <c r="V23" s="774" t="s">
        <v>17</v>
      </c>
      <c r="W23" s="775">
        <f>J23</f>
        <v>100</v>
      </c>
      <c r="X23" s="1813"/>
      <c r="Y23" s="3352"/>
      <c r="Z23" s="1814">
        <f>Q23</f>
        <v>111</v>
      </c>
      <c r="AA23" s="1811">
        <f t="shared" si="3"/>
        <v>1</v>
      </c>
      <c r="AB23" s="1811">
        <f t="shared" si="4"/>
        <v>1</v>
      </c>
      <c r="AC23" s="1811">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352"/>
      <c r="Q24" s="1810">
        <f t="shared" ref="Q24:Q34" si="11">B24</f>
        <v>111</v>
      </c>
      <c r="R24" s="774" t="s">
        <v>17</v>
      </c>
      <c r="S24" s="775">
        <f>F24</f>
        <v>100</v>
      </c>
      <c r="T24" s="774" t="s">
        <v>17</v>
      </c>
      <c r="U24" s="775">
        <f>H24</f>
        <v>100</v>
      </c>
      <c r="V24" s="774" t="s">
        <v>17</v>
      </c>
      <c r="W24" s="775">
        <f>J24</f>
        <v>100</v>
      </c>
      <c r="X24" s="1813"/>
      <c r="Y24" s="3352"/>
      <c r="Z24" s="1814">
        <f>Q24</f>
        <v>111</v>
      </c>
      <c r="AA24" s="1811">
        <f t="shared" si="3"/>
        <v>1</v>
      </c>
      <c r="AB24" s="1811">
        <f t="shared" si="4"/>
        <v>1</v>
      </c>
      <c r="AC24" s="1811">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2"/>
      <c r="M25" s="1133"/>
      <c r="N25" s="1133"/>
      <c r="O25" s="1134"/>
      <c r="P25" s="3352"/>
      <c r="Q25" s="1795">
        <f t="shared" si="11"/>
        <v>111</v>
      </c>
      <c r="R25" s="770" t="s">
        <v>17</v>
      </c>
      <c r="S25" s="771">
        <f>F25</f>
        <v>100</v>
      </c>
      <c r="T25" s="770" t="s">
        <v>17</v>
      </c>
      <c r="U25" s="771">
        <f>H25</f>
        <v>100</v>
      </c>
      <c r="V25" s="770" t="s">
        <v>17</v>
      </c>
      <c r="W25" s="771">
        <f>J25</f>
        <v>100</v>
      </c>
      <c r="X25" s="772"/>
      <c r="Y25" s="3352"/>
      <c r="Z25" s="55">
        <f>Q25</f>
        <v>111</v>
      </c>
      <c r="AA25" s="1811">
        <f>D25/F25</f>
        <v>1</v>
      </c>
      <c r="AB25" s="1811">
        <f>D25/H25</f>
        <v>1</v>
      </c>
      <c r="AC25" s="1811">
        <f>D25/J25</f>
        <v>1</v>
      </c>
    </row>
    <row r="26" spans="1:29" ht="28.5">
      <c r="A26" s="466" t="s">
        <v>2556</v>
      </c>
      <c r="B26" s="71" t="s">
        <v>2707</v>
      </c>
      <c r="C26" s="2678"/>
      <c r="D26" s="467">
        <v>100</v>
      </c>
      <c r="E26" s="2678"/>
      <c r="F26" s="667">
        <f>SUMIF(77:77,E26,78:78)-SUMIF(77:77,C26,78:78)+100</f>
        <v>100</v>
      </c>
      <c r="G26" s="2678"/>
      <c r="H26" s="467">
        <f>SUMIF(77:77,G26,78:78)-SUMIF(77:77,C26,78:78)+100</f>
        <v>100</v>
      </c>
      <c r="I26" s="2678"/>
      <c r="J26" s="467">
        <f>SUMIF(77:77,I26,78:78)-SUMIF(77:77,C26,78:78)+100</f>
        <v>100</v>
      </c>
      <c r="K26" s="612"/>
      <c r="L26" s="1140"/>
      <c r="M26" s="1131"/>
      <c r="N26" s="1131"/>
      <c r="O26" s="1139"/>
      <c r="P26" s="3353" t="s">
        <v>2558</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354" t="s">
        <v>2558</v>
      </c>
      <c r="Z26" s="1814" t="str">
        <f t="shared" ref="Z26:Z34" si="15">Q26</f>
        <v>公共部分装修</v>
      </c>
      <c r="AA26" s="1811">
        <f t="shared" si="3"/>
        <v>1</v>
      </c>
      <c r="AB26" s="1811">
        <f t="shared" si="4"/>
        <v>1</v>
      </c>
      <c r="AC26" s="1811">
        <f t="shared" si="5"/>
        <v>1</v>
      </c>
    </row>
    <row r="27" spans="1:29" s="471" customFormat="1" ht="15">
      <c r="A27" s="468"/>
      <c r="B27" s="422" t="s">
        <v>2708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354"/>
      <c r="Q27" s="776" t="str">
        <f t="shared" si="11"/>
        <v>成新率</v>
      </c>
      <c r="R27" s="777" t="s">
        <v>17</v>
      </c>
      <c r="S27" s="778" t="e">
        <f t="shared" si="12"/>
        <v>#N/A</v>
      </c>
      <c r="T27" s="777" t="s">
        <v>17</v>
      </c>
      <c r="U27" s="778" t="e">
        <f t="shared" si="13"/>
        <v>#N/A</v>
      </c>
      <c r="V27" s="777" t="s">
        <v>17</v>
      </c>
      <c r="W27" s="778" t="e">
        <f t="shared" si="14"/>
        <v>#N/A</v>
      </c>
      <c r="X27" s="779"/>
      <c r="Y27" s="3354"/>
      <c r="Z27" s="780" t="str">
        <f t="shared" si="15"/>
        <v>成新率</v>
      </c>
      <c r="AA27" s="1811" t="e">
        <f t="shared" si="3"/>
        <v>#N/A</v>
      </c>
      <c r="AB27" s="1811" t="e">
        <f t="shared" si="4"/>
        <v>#N/A</v>
      </c>
      <c r="AC27" s="1811" t="e">
        <f t="shared" si="5"/>
        <v>#N/A</v>
      </c>
    </row>
    <row r="28" spans="1:29" ht="15">
      <c r="A28" s="472"/>
      <c r="B28" s="422" t="s">
        <v>2709</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354"/>
      <c r="Q28" s="1810" t="str">
        <f t="shared" si="11"/>
        <v>物业等级</v>
      </c>
      <c r="R28" s="774" t="s">
        <v>17</v>
      </c>
      <c r="S28" s="775">
        <f t="shared" si="12"/>
        <v>100</v>
      </c>
      <c r="T28" s="774" t="s">
        <v>17</v>
      </c>
      <c r="U28" s="775">
        <f t="shared" si="13"/>
        <v>100</v>
      </c>
      <c r="V28" s="774" t="s">
        <v>17</v>
      </c>
      <c r="W28" s="775">
        <f t="shared" si="14"/>
        <v>100</v>
      </c>
      <c r="X28" s="1813"/>
      <c r="Y28" s="3354"/>
      <c r="Z28" s="1814" t="str">
        <f t="shared" si="15"/>
        <v>物业等级</v>
      </c>
      <c r="AA28" s="1811">
        <f t="shared" si="3"/>
        <v>1</v>
      </c>
      <c r="AB28" s="1811">
        <f t="shared" si="4"/>
        <v>1</v>
      </c>
      <c r="AC28" s="1811">
        <f t="shared" si="5"/>
        <v>1</v>
      </c>
    </row>
    <row r="29" spans="1:29" ht="15">
      <c r="A29" s="472"/>
      <c r="B29" s="422" t="s">
        <v>2730</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354"/>
      <c r="Q29" s="1810" t="str">
        <f t="shared" si="11"/>
        <v>有无电梯</v>
      </c>
      <c r="R29" s="774" t="s">
        <v>17</v>
      </c>
      <c r="S29" s="775">
        <f t="shared" si="12"/>
        <v>100</v>
      </c>
      <c r="T29" s="774" t="s">
        <v>17</v>
      </c>
      <c r="U29" s="775">
        <f t="shared" si="13"/>
        <v>100</v>
      </c>
      <c r="V29" s="774" t="s">
        <v>17</v>
      </c>
      <c r="W29" s="775">
        <f t="shared" si="14"/>
        <v>100</v>
      </c>
      <c r="X29" s="1813"/>
      <c r="Y29" s="3354"/>
      <c r="Z29" s="1814" t="str">
        <f t="shared" si="15"/>
        <v>有无电梯</v>
      </c>
      <c r="AA29" s="1811">
        <f t="shared" si="3"/>
        <v>1</v>
      </c>
      <c r="AB29" s="1811">
        <f t="shared" si="4"/>
        <v>1</v>
      </c>
      <c r="AC29" s="1811">
        <f t="shared" si="5"/>
        <v>1</v>
      </c>
    </row>
    <row r="30" spans="1:29" ht="15">
      <c r="A30" s="472"/>
      <c r="B30" s="422" t="s">
        <v>2731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354"/>
      <c r="Q30" s="1810" t="str">
        <f t="shared" si="11"/>
        <v>建筑面积</v>
      </c>
      <c r="R30" s="774" t="s">
        <v>17</v>
      </c>
      <c r="S30" s="775" t="e">
        <f t="shared" si="12"/>
        <v>#N/A</v>
      </c>
      <c r="T30" s="774" t="s">
        <v>17</v>
      </c>
      <c r="U30" s="775" t="e">
        <f t="shared" si="13"/>
        <v>#N/A</v>
      </c>
      <c r="V30" s="774" t="s">
        <v>17</v>
      </c>
      <c r="W30" s="775" t="e">
        <f t="shared" si="14"/>
        <v>#N/A</v>
      </c>
      <c r="X30" s="1813"/>
      <c r="Y30" s="3354"/>
      <c r="Z30" s="1814" t="str">
        <f t="shared" si="15"/>
        <v>建筑面积</v>
      </c>
      <c r="AA30" s="1811" t="e">
        <f t="shared" si="3"/>
        <v>#N/A</v>
      </c>
      <c r="AB30" s="1811" t="e">
        <f t="shared" si="4"/>
        <v>#N/A</v>
      </c>
      <c r="AC30" s="1811" t="e">
        <f t="shared" si="5"/>
        <v>#N/A</v>
      </c>
    </row>
    <row r="31" spans="1:29" s="117" customFormat="1" ht="15">
      <c r="A31" s="473"/>
      <c r="B31" s="422" t="s">
        <v>2732</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354"/>
      <c r="Q31" s="1795" t="str">
        <f t="shared" si="11"/>
        <v>是否封闭</v>
      </c>
      <c r="R31" s="770" t="s">
        <v>17</v>
      </c>
      <c r="S31" s="771">
        <f t="shared" si="12"/>
        <v>100</v>
      </c>
      <c r="T31" s="770" t="s">
        <v>17</v>
      </c>
      <c r="U31" s="771">
        <f t="shared" si="13"/>
        <v>100</v>
      </c>
      <c r="V31" s="770" t="s">
        <v>17</v>
      </c>
      <c r="W31" s="771">
        <f t="shared" si="14"/>
        <v>100</v>
      </c>
      <c r="X31" s="772"/>
      <c r="Y31" s="3354"/>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354" t="s">
        <v>2558</v>
      </c>
      <c r="Q32" s="1810">
        <f t="shared" si="11"/>
        <v>111</v>
      </c>
      <c r="R32" s="774" t="s">
        <v>17</v>
      </c>
      <c r="S32" s="775">
        <f t="shared" si="12"/>
        <v>100</v>
      </c>
      <c r="T32" s="774" t="s">
        <v>17</v>
      </c>
      <c r="U32" s="775">
        <f t="shared" si="13"/>
        <v>100</v>
      </c>
      <c r="V32" s="774" t="s">
        <v>17</v>
      </c>
      <c r="W32" s="775">
        <f t="shared" si="14"/>
        <v>100</v>
      </c>
      <c r="X32" s="1813"/>
      <c r="Y32" s="3354" t="s">
        <v>2558</v>
      </c>
      <c r="Z32" s="1814">
        <f t="shared" si="15"/>
        <v>111</v>
      </c>
      <c r="AA32" s="1811">
        <f t="shared" si="3"/>
        <v>1</v>
      </c>
      <c r="AB32" s="1811">
        <f t="shared" si="4"/>
        <v>1</v>
      </c>
      <c r="AC32" s="1811">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354"/>
      <c r="Q33" s="1810">
        <f t="shared" si="11"/>
        <v>111</v>
      </c>
      <c r="R33" s="774" t="s">
        <v>17</v>
      </c>
      <c r="S33" s="775">
        <f t="shared" si="12"/>
        <v>100</v>
      </c>
      <c r="T33" s="774" t="s">
        <v>17</v>
      </c>
      <c r="U33" s="775">
        <f t="shared" si="13"/>
        <v>100</v>
      </c>
      <c r="V33" s="774" t="s">
        <v>17</v>
      </c>
      <c r="W33" s="775">
        <f t="shared" si="14"/>
        <v>100</v>
      </c>
      <c r="X33" s="1813"/>
      <c r="Y33" s="3354"/>
      <c r="Z33" s="1814">
        <f t="shared" si="15"/>
        <v>111</v>
      </c>
      <c r="AA33" s="1811">
        <f t="shared" si="3"/>
        <v>1</v>
      </c>
      <c r="AB33" s="1811">
        <f t="shared" si="4"/>
        <v>1</v>
      </c>
      <c r="AC33" s="1811">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0"/>
      <c r="M34" s="1131"/>
      <c r="N34" s="1131"/>
      <c r="O34" s="1139"/>
      <c r="P34" s="3354"/>
      <c r="Q34" s="1810">
        <f t="shared" si="11"/>
        <v>111</v>
      </c>
      <c r="R34" s="774" t="s">
        <v>17</v>
      </c>
      <c r="S34" s="775">
        <f t="shared" si="12"/>
        <v>100</v>
      </c>
      <c r="T34" s="774" t="s">
        <v>17</v>
      </c>
      <c r="U34" s="775">
        <f t="shared" si="13"/>
        <v>100</v>
      </c>
      <c r="V34" s="774" t="s">
        <v>17</v>
      </c>
      <c r="W34" s="775">
        <f t="shared" si="14"/>
        <v>100</v>
      </c>
      <c r="X34" s="1813"/>
      <c r="Y34" s="3354"/>
      <c r="Z34" s="1814">
        <f t="shared" si="15"/>
        <v>111</v>
      </c>
      <c r="AA34" s="1811">
        <f t="shared" si="3"/>
        <v>1</v>
      </c>
      <c r="AB34" s="1811">
        <f t="shared" si="4"/>
        <v>1</v>
      </c>
      <c r="AC34" s="1811">
        <f t="shared" si="5"/>
        <v>1</v>
      </c>
    </row>
    <row r="35" spans="1:29" ht="15">
      <c r="A35" s="479" t="s">
        <v>2570</v>
      </c>
      <c r="B35" s="480"/>
      <c r="C35" s="1407" t="s">
        <v>1</v>
      </c>
      <c r="D35" s="1408"/>
      <c r="E35" s="1409"/>
      <c r="F35" s="1410"/>
      <c r="G35" s="1411"/>
      <c r="H35" s="1412"/>
      <c r="I35" s="1409"/>
      <c r="J35" s="1412"/>
      <c r="K35" s="783"/>
      <c r="L35" s="1143"/>
      <c r="M35" s="1144"/>
      <c r="N35" s="1131"/>
      <c r="O35" s="1144"/>
      <c r="P35" s="3348" t="str">
        <f>A35</f>
        <v>成交单价（元/平方米）</v>
      </c>
      <c r="Q35" s="3348"/>
      <c r="R35" s="3425">
        <f>E35</f>
        <v>0</v>
      </c>
      <c r="S35" s="3425"/>
      <c r="T35" s="3425">
        <f>G35</f>
        <v>0</v>
      </c>
      <c r="U35" s="3425"/>
      <c r="V35" s="3425">
        <f>I35</f>
        <v>0</v>
      </c>
      <c r="W35" s="3425"/>
      <c r="X35" s="759"/>
      <c r="Y35" s="781"/>
      <c r="Z35" s="759"/>
      <c r="AA35" s="759"/>
      <c r="AB35" s="759"/>
      <c r="AC35" s="759"/>
    </row>
    <row r="36" spans="1:29" ht="15.75" thickBot="1">
      <c r="A36" s="486" t="s">
        <v>2662</v>
      </c>
      <c r="B36" s="487"/>
      <c r="C36" s="1413" t="e">
        <f>R37</f>
        <v>#DIV/0!</v>
      </c>
      <c r="D36" s="1414"/>
      <c r="E36" s="1415" t="e">
        <f>R36</f>
        <v>#DIV/0!</v>
      </c>
      <c r="F36" s="1415"/>
      <c r="G36" s="1413" t="e">
        <f>T36</f>
        <v>#DIV/0!</v>
      </c>
      <c r="H36" s="1414"/>
      <c r="I36" s="1415" t="e">
        <f>V36</f>
        <v>#DIV/0!</v>
      </c>
      <c r="J36" s="1414"/>
      <c r="K36" s="784"/>
      <c r="L36" s="1143"/>
      <c r="M36" s="1144"/>
      <c r="N36" s="1131"/>
      <c r="O36" s="1144"/>
      <c r="P36" s="3348" t="str">
        <f>A36</f>
        <v>比较价值（元/平方米）</v>
      </c>
      <c r="Q36" s="3348"/>
      <c r="R36" s="3425" t="e">
        <f>IF(F1="售价",ROUND(PRODUCT(R35,AA7:AA34),0),ROUND(PRODUCT(R35,AA7:AA34),1))</f>
        <v>#DIV/0!</v>
      </c>
      <c r="S36" s="3425"/>
      <c r="T36" s="3425" t="e">
        <f>IF(F1="售价",ROUND(PRODUCT(T35,AB7:AB34),0),ROUND(PRODUCT(T35,AB7:AB34),1))</f>
        <v>#DIV/0!</v>
      </c>
      <c r="U36" s="3425"/>
      <c r="V36" s="3425" t="e">
        <f>IF(F1="售价",ROUND(PRODUCT(V35,AC7:AC34),0),ROUND(PRODUCT(V35,AC7:AC34),1))</f>
        <v>#DIV/0!</v>
      </c>
      <c r="W36" s="3425"/>
      <c r="X36" s="759"/>
      <c r="Y36" s="759"/>
      <c r="Z36" s="759"/>
      <c r="AA36" s="759"/>
      <c r="AB36" s="759"/>
      <c r="AC36" s="759"/>
    </row>
    <row r="37" spans="1:29" ht="15.75" thickBot="1">
      <c r="A37" s="492" t="s">
        <v>2663</v>
      </c>
      <c r="B37" s="493"/>
      <c r="C37" s="1417" t="e">
        <f>R37</f>
        <v>#DIV/0!</v>
      </c>
      <c r="D37" s="1417"/>
      <c r="E37" s="1417"/>
      <c r="F37" s="1417"/>
      <c r="G37" s="1417"/>
      <c r="H37" s="1417"/>
      <c r="I37" s="1417"/>
      <c r="J37" s="1417"/>
      <c r="K37" s="785"/>
      <c r="L37" s="1143"/>
      <c r="M37" s="1144"/>
      <c r="N37" s="1144"/>
      <c r="O37" s="1144"/>
      <c r="P37" s="3345" t="str">
        <f>A37</f>
        <v>估价对象XX用房的比较价值（楼面单价，元/平方米）</v>
      </c>
      <c r="Q37" s="3346"/>
      <c r="R37" s="3424" t="e">
        <f>IF(F1="售价",ROUND(AVERAGE(R36:V36),0),ROUND(AVERAGE(R36:V36),1))</f>
        <v>#DIV/0!</v>
      </c>
      <c r="S37" s="3424"/>
      <c r="T37" s="3424"/>
      <c r="U37" s="3424"/>
      <c r="V37" s="3424"/>
      <c r="W37" s="3424"/>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2667</v>
      </c>
      <c r="B45" s="759"/>
      <c r="C45" s="764"/>
      <c r="D45" s="764"/>
      <c r="E45" s="764"/>
      <c r="F45" s="765"/>
      <c r="G45" s="765"/>
      <c r="H45" s="764"/>
      <c r="I45" s="764"/>
      <c r="J45" s="764"/>
      <c r="K45" s="766"/>
      <c r="L45" s="767"/>
      <c r="M45" s="764"/>
      <c r="N45" s="764"/>
      <c r="O45" s="764"/>
      <c r="P45" s="503"/>
      <c r="Q45" s="504"/>
    </row>
    <row r="46" spans="1:29" s="508" customFormat="1" ht="15">
      <c r="A46" s="505" t="s">
        <v>2541</v>
      </c>
      <c r="B46" s="506"/>
      <c r="C46" s="1574" t="str">
        <f>YEAR(C7)&amp;"-"&amp;MONTH(C7)</f>
        <v>2019-3</v>
      </c>
      <c r="D46" s="1575">
        <f>EDATE(C46,-1)</f>
        <v>43497</v>
      </c>
      <c r="E46" s="1575">
        <f t="shared" ref="E46:O46" si="16">EDATE(D46,-1)</f>
        <v>43466</v>
      </c>
      <c r="F46" s="1575">
        <f t="shared" si="16"/>
        <v>43435</v>
      </c>
      <c r="G46" s="1575">
        <f t="shared" si="16"/>
        <v>43405</v>
      </c>
      <c r="H46" s="1575">
        <f t="shared" si="16"/>
        <v>43374</v>
      </c>
      <c r="I46" s="1575">
        <f t="shared" si="16"/>
        <v>43344</v>
      </c>
      <c r="J46" s="1575">
        <f t="shared" si="16"/>
        <v>43313</v>
      </c>
      <c r="K46" s="1575">
        <f t="shared" si="16"/>
        <v>43282</v>
      </c>
      <c r="L46" s="1575">
        <f t="shared" si="16"/>
        <v>43252</v>
      </c>
      <c r="M46" s="1575">
        <f t="shared" si="16"/>
        <v>43221</v>
      </c>
      <c r="N46" s="1575">
        <f t="shared" si="16"/>
        <v>43191</v>
      </c>
      <c r="O46" s="1575">
        <f t="shared" si="16"/>
        <v>43160</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2578</v>
      </c>
      <c r="B48" s="516"/>
      <c r="C48" s="517"/>
      <c r="D48" s="518"/>
      <c r="E48" s="518"/>
      <c r="F48" s="518"/>
      <c r="G48" s="518"/>
      <c r="H48" s="518"/>
      <c r="I48" s="518"/>
      <c r="J48" s="518"/>
      <c r="K48" s="518"/>
      <c r="L48" s="518"/>
      <c r="M48" s="519"/>
      <c r="N48" s="518"/>
      <c r="O48" s="520"/>
      <c r="P48" s="504"/>
      <c r="Q48" s="504"/>
    </row>
    <row r="49" spans="1:17" s="117" customFormat="1" ht="15">
      <c r="A49" s="521" t="s">
        <v>2543</v>
      </c>
      <c r="B49" s="510"/>
      <c r="C49" s="522" t="s">
        <v>2645</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2581</v>
      </c>
      <c r="B51" s="528" t="s">
        <v>2547</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2550</v>
      </c>
      <c r="C53" s="539" t="s">
        <v>2582</v>
      </c>
      <c r="D53" s="539" t="s">
        <v>2583</v>
      </c>
      <c r="E53" s="539" t="s">
        <v>2584</v>
      </c>
      <c r="F53" s="539" t="s">
        <v>2585</v>
      </c>
      <c r="G53" s="539" t="s">
        <v>2586</v>
      </c>
      <c r="H53" s="539" t="s">
        <v>2587</v>
      </c>
      <c r="I53" s="539" t="s">
        <v>2588</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2552</v>
      </c>
      <c r="B61" s="528" t="s">
        <v>2595</v>
      </c>
      <c r="C61" s="573" t="s">
        <v>2590</v>
      </c>
      <c r="D61" s="573" t="s">
        <v>2591</v>
      </c>
      <c r="E61" s="573" t="s">
        <v>2592</v>
      </c>
      <c r="F61" s="573" t="s">
        <v>2593</v>
      </c>
      <c r="G61" s="573" t="s">
        <v>2594</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2733</v>
      </c>
      <c r="C63" s="578" t="s">
        <v>2590</v>
      </c>
      <c r="D63" s="578" t="s">
        <v>2591</v>
      </c>
      <c r="E63" s="578" t="s">
        <v>2592</v>
      </c>
      <c r="F63" s="578" t="s">
        <v>2593</v>
      </c>
      <c r="G63" s="578" t="s">
        <v>2594</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2682</v>
      </c>
      <c r="C65" s="660" t="s">
        <v>2668</v>
      </c>
      <c r="D65" s="660" t="s">
        <v>2669</v>
      </c>
      <c r="E65" s="660" t="s">
        <v>2670</v>
      </c>
      <c r="F65" s="660" t="s">
        <v>2671</v>
      </c>
      <c r="G65" s="660" t="s">
        <v>2672</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2602</v>
      </c>
      <c r="C67" s="578" t="s">
        <v>2590</v>
      </c>
      <c r="D67" s="578" t="s">
        <v>2591</v>
      </c>
      <c r="E67" s="578" t="s">
        <v>2592</v>
      </c>
      <c r="F67" s="578" t="s">
        <v>2593</v>
      </c>
      <c r="G67" s="578" t="s">
        <v>2594</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2722</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2556</v>
      </c>
      <c r="B77" s="528" t="s">
        <v>2609</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2726</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2734</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2736</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2737</v>
      </c>
      <c r="B1" s="395"/>
      <c r="C1" s="396" t="s">
        <v>2738</v>
      </c>
      <c r="D1" s="755"/>
      <c r="E1" s="755"/>
      <c r="F1" s="754" t="s">
        <v>2636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2320</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2322</v>
      </c>
      <c r="B3" s="609" t="e">
        <f>ROUND(IF(D3="",B2*10000/'数据-汇总表'!E3,B2*10000/D3),0)</f>
        <v>#DIV/0!</v>
      </c>
      <c r="C3" s="247" t="s">
        <v>2739</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2638</v>
      </c>
      <c r="B4" s="402"/>
      <c r="C4" s="3358" t="s">
        <v>2639</v>
      </c>
      <c r="D4" s="3359"/>
      <c r="E4" s="3360" t="s">
        <v>2640</v>
      </c>
      <c r="F4" s="3361"/>
      <c r="G4" s="3358" t="s">
        <v>2641</v>
      </c>
      <c r="H4" s="3359"/>
      <c r="I4" s="3358" t="s">
        <v>2642</v>
      </c>
      <c r="J4" s="3359"/>
      <c r="K4" s="610" t="s">
        <v>2643</v>
      </c>
      <c r="L4" s="1130"/>
      <c r="M4" s="1131"/>
      <c r="N4" s="1131"/>
      <c r="O4" s="1131"/>
      <c r="P4" s="3362" t="s">
        <v>2644</v>
      </c>
      <c r="Q4" s="3363"/>
      <c r="R4" s="3375" t="s">
        <v>2640</v>
      </c>
      <c r="S4" s="3376"/>
      <c r="T4" s="3375" t="s">
        <v>2641</v>
      </c>
      <c r="U4" s="3376"/>
      <c r="V4" s="3350" t="s">
        <v>2642</v>
      </c>
      <c r="W4" s="3350"/>
      <c r="X4" s="1813"/>
      <c r="Y4" s="3375" t="s">
        <v>2644</v>
      </c>
      <c r="Z4" s="3376"/>
      <c r="AA4" s="3355" t="s">
        <v>2640</v>
      </c>
      <c r="AB4" s="3356" t="s">
        <v>2641</v>
      </c>
      <c r="AC4" s="3355" t="s">
        <v>2642</v>
      </c>
    </row>
    <row r="5" spans="1:30" ht="15">
      <c r="A5" s="404"/>
      <c r="B5" s="405"/>
      <c r="C5" s="3379" t="s">
        <v>2535</v>
      </c>
      <c r="D5" s="3380"/>
      <c r="E5" s="3368" t="s">
        <v>2536</v>
      </c>
      <c r="F5" s="3369"/>
      <c r="G5" s="3379" t="s">
        <v>2537</v>
      </c>
      <c r="H5" s="3380"/>
      <c r="I5" s="3379" t="s">
        <v>2538</v>
      </c>
      <c r="J5" s="3380"/>
      <c r="K5" s="610"/>
      <c r="L5" s="1130"/>
      <c r="M5" s="1131"/>
      <c r="N5" s="1131"/>
      <c r="O5" s="1131"/>
      <c r="P5" s="3364"/>
      <c r="Q5" s="3365"/>
      <c r="R5" s="3377"/>
      <c r="S5" s="3378"/>
      <c r="T5" s="3377"/>
      <c r="U5" s="3378"/>
      <c r="V5" s="3350"/>
      <c r="W5" s="3350"/>
      <c r="X5" s="1813"/>
      <c r="Y5" s="3377"/>
      <c r="Z5" s="3378"/>
      <c r="AA5" s="3356"/>
      <c r="AB5" s="3356"/>
      <c r="AC5" s="3356"/>
    </row>
    <row r="6" spans="1:30" ht="15.75" thickBot="1">
      <c r="A6" s="406"/>
      <c r="B6" s="407"/>
      <c r="C6" s="3420" t="s">
        <v>2539</v>
      </c>
      <c r="D6" s="3421"/>
      <c r="E6" s="3422" t="s">
        <v>2539</v>
      </c>
      <c r="F6" s="3423"/>
      <c r="G6" s="3420" t="s">
        <v>2539</v>
      </c>
      <c r="H6" s="3421"/>
      <c r="I6" s="3420" t="s">
        <v>2539</v>
      </c>
      <c r="J6" s="3421"/>
      <c r="K6" s="610" t="s">
        <v>2540</v>
      </c>
      <c r="L6" s="1130"/>
      <c r="M6" s="1131"/>
      <c r="N6" s="1131"/>
      <c r="O6" s="1131"/>
      <c r="P6" s="3366"/>
      <c r="Q6" s="3367"/>
      <c r="R6" s="3377"/>
      <c r="S6" s="3378"/>
      <c r="T6" s="3386"/>
      <c r="U6" s="3387"/>
      <c r="V6" s="3350"/>
      <c r="W6" s="3350"/>
      <c r="X6" s="1813"/>
      <c r="Y6" s="3386"/>
      <c r="Z6" s="3387"/>
      <c r="AA6" s="3357"/>
      <c r="AB6" s="3357"/>
      <c r="AC6" s="3357"/>
    </row>
    <row r="7" spans="1:30" s="117" customFormat="1" ht="15.75" thickBot="1">
      <c r="A7" s="408" t="s">
        <v>2541</v>
      </c>
      <c r="B7" s="409"/>
      <c r="C7" s="410">
        <f>'数据-取费表'!B2</f>
        <v>43544</v>
      </c>
      <c r="D7" s="411">
        <v>100</v>
      </c>
      <c r="E7" s="412">
        <v>42309</v>
      </c>
      <c r="F7" s="413">
        <f>SUMIF(70:70,YEAR(E7)&amp;"-"&amp;INT((MONTH(E7)+2)/3),71:71)</f>
        <v>0</v>
      </c>
      <c r="G7" s="2695">
        <v>42309</v>
      </c>
      <c r="H7" s="411">
        <f>SUMIF(70:70,YEAR(G7)&amp;"-"&amp;INT((MONTH(G7)+2)/3),71:71)</f>
        <v>0</v>
      </c>
      <c r="I7" s="2695">
        <v>42036</v>
      </c>
      <c r="J7" s="411">
        <f>SUMIF(70:70,YEAR(I7)&amp;"-"&amp;INT((MONTH(I7)+2)/3),71:71)</f>
        <v>0</v>
      </c>
      <c r="K7" s="611"/>
      <c r="L7" s="1132"/>
      <c r="M7" s="1133"/>
      <c r="N7" s="1133"/>
      <c r="O7" s="1133"/>
      <c r="P7" s="3370" t="s">
        <v>2542</v>
      </c>
      <c r="Q7" s="3383"/>
      <c r="R7" s="770" t="s">
        <v>17</v>
      </c>
      <c r="S7" s="771">
        <f t="shared" ref="S7:S15" si="0">F7</f>
        <v>0</v>
      </c>
      <c r="T7" s="770" t="s">
        <v>17</v>
      </c>
      <c r="U7" s="771">
        <f t="shared" ref="U7:U15" si="1">H7</f>
        <v>0</v>
      </c>
      <c r="V7" s="770" t="s">
        <v>17</v>
      </c>
      <c r="W7" s="771">
        <f t="shared" ref="W7:W15" si="2">J7</f>
        <v>0</v>
      </c>
      <c r="X7" s="772"/>
      <c r="Y7" s="3370" t="s">
        <v>2542</v>
      </c>
      <c r="Z7" s="3371"/>
      <c r="AA7" s="773" t="e">
        <f>D7/F7</f>
        <v>#DIV/0!</v>
      </c>
      <c r="AB7" s="773" t="e">
        <f>D7/H7</f>
        <v>#DIV/0!</v>
      </c>
      <c r="AC7" s="773" t="e">
        <f>D7/J7</f>
        <v>#DIV/0!</v>
      </c>
    </row>
    <row r="8" spans="1:30" s="117" customFormat="1" ht="15.75" thickBot="1">
      <c r="A8" s="408" t="s">
        <v>2543</v>
      </c>
      <c r="B8" s="409"/>
      <c r="C8" s="414" t="s">
        <v>2544</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370" t="s">
        <v>2545</v>
      </c>
      <c r="Q8" s="3371"/>
      <c r="R8" s="770" t="s">
        <v>17</v>
      </c>
      <c r="S8" s="771">
        <f t="shared" si="0"/>
        <v>0</v>
      </c>
      <c r="T8" s="770" t="s">
        <v>17</v>
      </c>
      <c r="U8" s="771">
        <f t="shared" si="1"/>
        <v>0</v>
      </c>
      <c r="V8" s="770" t="s">
        <v>17</v>
      </c>
      <c r="W8" s="771">
        <f t="shared" si="2"/>
        <v>0</v>
      </c>
      <c r="X8" s="772"/>
      <c r="Y8" s="3370" t="s">
        <v>2545</v>
      </c>
      <c r="Z8" s="3371"/>
      <c r="AA8" s="773" t="e">
        <f t="shared" ref="AA8:AA45" si="3">D8/F8</f>
        <v>#DIV/0!</v>
      </c>
      <c r="AB8" s="773" t="e">
        <f t="shared" ref="AB8:AB45" si="4">D8/H8</f>
        <v>#DIV/0!</v>
      </c>
      <c r="AC8" s="773" t="e">
        <f t="shared" ref="AC8:AC45" si="5">D8/J8</f>
        <v>#DIV/0!</v>
      </c>
    </row>
    <row r="9" spans="1:30" s="117" customFormat="1">
      <c r="A9" s="415" t="s">
        <v>2546</v>
      </c>
      <c r="B9" s="71" t="s">
        <v>2547</v>
      </c>
      <c r="C9" s="2698"/>
      <c r="D9" s="135">
        <v>100</v>
      </c>
      <c r="E9" s="2698"/>
      <c r="F9" s="135">
        <f>SUMIF(75:75,E9,76:76)-SUMIF(75:75,C9,76:76)+100</f>
        <v>100</v>
      </c>
      <c r="G9" s="2698"/>
      <c r="H9" s="135">
        <f>SUMIF(75:75,G9,76:76)-SUMIF(75:75,C9,76:76)+100</f>
        <v>100</v>
      </c>
      <c r="I9" s="2698"/>
      <c r="J9" s="135">
        <f>SUMIF(75:75,I9,76:76)-SUMIF(75:75,C9,76:76)+100</f>
        <v>100</v>
      </c>
      <c r="K9" s="611"/>
      <c r="L9" s="1132"/>
      <c r="M9" s="1133"/>
      <c r="N9" s="1133"/>
      <c r="O9" s="1134"/>
      <c r="P9" s="3348" t="s">
        <v>2548</v>
      </c>
      <c r="Q9" s="1795" t="str">
        <f t="shared" ref="Q9:Q15" si="6">B9</f>
        <v>用途</v>
      </c>
      <c r="R9" s="770" t="s">
        <v>17</v>
      </c>
      <c r="S9" s="771">
        <f t="shared" si="0"/>
        <v>100</v>
      </c>
      <c r="T9" s="770" t="s">
        <v>17</v>
      </c>
      <c r="U9" s="771">
        <f t="shared" si="1"/>
        <v>100</v>
      </c>
      <c r="V9" s="770" t="s">
        <v>17</v>
      </c>
      <c r="W9" s="771">
        <f t="shared" si="2"/>
        <v>100</v>
      </c>
      <c r="X9" s="772"/>
      <c r="Y9" s="3204" t="s">
        <v>2549</v>
      </c>
      <c r="Z9" s="55" t="str">
        <f t="shared" ref="Z9:Z15" si="7">Q9</f>
        <v>用途</v>
      </c>
      <c r="AA9" s="773">
        <f t="shared" si="3"/>
        <v>1</v>
      </c>
      <c r="AB9" s="773">
        <f t="shared" si="4"/>
        <v>1</v>
      </c>
      <c r="AC9" s="773">
        <f t="shared" si="5"/>
        <v>1</v>
      </c>
    </row>
    <row r="10" spans="1:30" s="427" customFormat="1" ht="27">
      <c r="A10" s="421"/>
      <c r="B10" s="422" t="s">
        <v>2550</v>
      </c>
      <c r="C10" s="432"/>
      <c r="D10" s="136">
        <v>100</v>
      </c>
      <c r="E10" s="465"/>
      <c r="F10" s="136">
        <f>ROUND(100/'数据-取费表'!G16,0)</f>
        <v>140</v>
      </c>
      <c r="G10" s="463"/>
      <c r="H10" s="136">
        <f>ROUND(100/'数据-取费表'!G16,0)</f>
        <v>140</v>
      </c>
      <c r="I10" s="463"/>
      <c r="J10" s="136">
        <f>ROUND(100/'数据-取费表'!G16,0)</f>
        <v>140</v>
      </c>
      <c r="K10" s="672"/>
      <c r="L10" s="1135"/>
      <c r="M10" s="1136"/>
      <c r="N10" s="1136"/>
      <c r="O10" s="1137"/>
      <c r="P10" s="3348"/>
      <c r="Q10" s="1795" t="str">
        <f t="shared" si="6"/>
        <v>土地使用年限（年）</v>
      </c>
      <c r="R10" s="770" t="s">
        <v>17</v>
      </c>
      <c r="S10" s="771">
        <f t="shared" si="0"/>
        <v>140</v>
      </c>
      <c r="T10" s="770" t="s">
        <v>17</v>
      </c>
      <c r="U10" s="771">
        <f t="shared" si="1"/>
        <v>140</v>
      </c>
      <c r="V10" s="770" t="s">
        <v>17</v>
      </c>
      <c r="W10" s="771">
        <f t="shared" si="2"/>
        <v>140</v>
      </c>
      <c r="X10" s="772"/>
      <c r="Y10" s="3204"/>
      <c r="Z10" s="55" t="str">
        <f t="shared" si="7"/>
        <v>土地使用年限（年）</v>
      </c>
      <c r="AA10" s="773">
        <f t="shared" si="3"/>
        <v>0.7142857142857143</v>
      </c>
      <c r="AB10" s="773">
        <f t="shared" si="4"/>
        <v>0.7142857142857143</v>
      </c>
      <c r="AC10" s="773">
        <f t="shared" si="5"/>
        <v>0.7142857142857143</v>
      </c>
    </row>
    <row r="11" spans="1:30" ht="15">
      <c r="A11" s="428"/>
      <c r="B11" s="422" t="s">
        <v>2551</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348"/>
      <c r="Q11" s="1795" t="str">
        <f t="shared" si="6"/>
        <v>容积率</v>
      </c>
      <c r="R11" s="770" t="s">
        <v>17</v>
      </c>
      <c r="S11" s="771" t="e">
        <f t="shared" si="0"/>
        <v>#N/A</v>
      </c>
      <c r="T11" s="770" t="s">
        <v>17</v>
      </c>
      <c r="U11" s="771" t="e">
        <f t="shared" si="1"/>
        <v>#N/A</v>
      </c>
      <c r="V11" s="770" t="s">
        <v>17</v>
      </c>
      <c r="W11" s="771" t="e">
        <f t="shared" si="2"/>
        <v>#N/A</v>
      </c>
      <c r="X11" s="772"/>
      <c r="Y11" s="3204"/>
      <c r="Z11" s="55" t="str">
        <f t="shared" si="7"/>
        <v>容积率</v>
      </c>
      <c r="AA11" s="773" t="e">
        <f t="shared" si="3"/>
        <v>#N/A</v>
      </c>
      <c r="AB11" s="773" t="e">
        <f t="shared" si="4"/>
        <v>#N/A</v>
      </c>
      <c r="AC11" s="773" t="e">
        <f t="shared" si="5"/>
        <v>#N/A</v>
      </c>
    </row>
    <row r="12" spans="1:30" s="117" customFormat="1" ht="15">
      <c r="A12" s="431"/>
      <c r="B12" s="2599" t="s">
        <v>2740</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348"/>
      <c r="Q12" s="1795" t="str">
        <f t="shared" si="6"/>
        <v>配建</v>
      </c>
      <c r="R12" s="770" t="s">
        <v>17</v>
      </c>
      <c r="S12" s="771">
        <f t="shared" si="0"/>
        <v>100</v>
      </c>
      <c r="T12" s="770" t="s">
        <v>17</v>
      </c>
      <c r="U12" s="771">
        <f t="shared" si="1"/>
        <v>100</v>
      </c>
      <c r="V12" s="770" t="s">
        <v>17</v>
      </c>
      <c r="W12" s="771">
        <f t="shared" si="2"/>
        <v>100</v>
      </c>
      <c r="X12" s="772"/>
      <c r="Y12" s="3204"/>
      <c r="Z12" s="55" t="str">
        <f t="shared" si="7"/>
        <v>配建</v>
      </c>
      <c r="AA12" s="773">
        <f>D12/F12</f>
        <v>1</v>
      </c>
      <c r="AB12" s="773">
        <f>D12/H12</f>
        <v>1</v>
      </c>
      <c r="AC12" s="773">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348"/>
      <c r="Q13" s="1795">
        <f t="shared" si="6"/>
        <v>111</v>
      </c>
      <c r="R13" s="770" t="s">
        <v>17</v>
      </c>
      <c r="S13" s="771">
        <f t="shared" si="0"/>
        <v>100</v>
      </c>
      <c r="T13" s="770" t="s">
        <v>17</v>
      </c>
      <c r="U13" s="771">
        <f t="shared" si="1"/>
        <v>100</v>
      </c>
      <c r="V13" s="770" t="s">
        <v>17</v>
      </c>
      <c r="W13" s="771">
        <f t="shared" si="2"/>
        <v>100</v>
      </c>
      <c r="X13" s="772"/>
      <c r="Y13" s="3204"/>
      <c r="Z13" s="55">
        <f t="shared" si="7"/>
        <v>111</v>
      </c>
      <c r="AA13" s="773">
        <f>D13/F13</f>
        <v>1</v>
      </c>
      <c r="AB13" s="773">
        <f>D13/H13</f>
        <v>1</v>
      </c>
      <c r="AC13" s="773">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348"/>
      <c r="Q14" s="1795">
        <f t="shared" si="6"/>
        <v>111</v>
      </c>
      <c r="R14" s="770" t="s">
        <v>17</v>
      </c>
      <c r="S14" s="771">
        <f t="shared" si="0"/>
        <v>100</v>
      </c>
      <c r="T14" s="770" t="s">
        <v>17</v>
      </c>
      <c r="U14" s="771">
        <f t="shared" si="1"/>
        <v>100</v>
      </c>
      <c r="V14" s="770" t="s">
        <v>17</v>
      </c>
      <c r="W14" s="771">
        <f t="shared" si="2"/>
        <v>100</v>
      </c>
      <c r="X14" s="772"/>
      <c r="Y14" s="3204"/>
      <c r="Z14" s="55">
        <f t="shared" si="7"/>
        <v>111</v>
      </c>
      <c r="AA14" s="773">
        <f>D14/F14</f>
        <v>1</v>
      </c>
      <c r="AB14" s="773">
        <f>D14/H14</f>
        <v>1</v>
      </c>
      <c r="AC14" s="773">
        <f>D14/J14</f>
        <v>1</v>
      </c>
    </row>
    <row r="15" spans="1:30" ht="99.75">
      <c r="A15" s="440" t="s">
        <v>2552</v>
      </c>
      <c r="B15" s="69" t="s">
        <v>2079</v>
      </c>
      <c r="C15" s="2602"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351" t="s">
        <v>2553</v>
      </c>
      <c r="Q15" s="1810" t="str">
        <f t="shared" si="6"/>
        <v>居住社区成熟度</v>
      </c>
      <c r="R15" s="774" t="s">
        <v>17</v>
      </c>
      <c r="S15" s="775">
        <f t="shared" si="0"/>
        <v>100</v>
      </c>
      <c r="T15" s="774" t="s">
        <v>17</v>
      </c>
      <c r="U15" s="775">
        <f t="shared" si="1"/>
        <v>100</v>
      </c>
      <c r="V15" s="774" t="s">
        <v>17</v>
      </c>
      <c r="W15" s="775">
        <f t="shared" si="2"/>
        <v>100</v>
      </c>
      <c r="X15" s="1813"/>
      <c r="Y15" s="3351" t="s">
        <v>2553</v>
      </c>
      <c r="Z15" s="1814" t="str">
        <f t="shared" si="7"/>
        <v>居住社区成熟度</v>
      </c>
      <c r="AA15" s="1811">
        <f t="shared" si="3"/>
        <v>1</v>
      </c>
      <c r="AB15" s="1811">
        <f t="shared" si="4"/>
        <v>1</v>
      </c>
      <c r="AC15" s="1811">
        <f t="shared" si="5"/>
        <v>1</v>
      </c>
    </row>
    <row r="16" spans="1:30" ht="15">
      <c r="A16" s="428"/>
      <c r="B16" s="446"/>
      <c r="C16" s="447"/>
      <c r="D16" s="448"/>
      <c r="E16" s="2604"/>
      <c r="F16" s="448"/>
      <c r="G16" s="2604"/>
      <c r="H16" s="450"/>
      <c r="I16" s="2603"/>
      <c r="J16" s="448"/>
      <c r="K16" s="672"/>
      <c r="L16" s="1140"/>
      <c r="M16" s="1131"/>
      <c r="N16" s="1131"/>
      <c r="O16" s="1139"/>
      <c r="P16" s="3352"/>
      <c r="Q16" s="1810"/>
      <c r="R16" s="774"/>
      <c r="S16" s="775"/>
      <c r="T16" s="774"/>
      <c r="U16" s="775"/>
      <c r="V16" s="774"/>
      <c r="W16" s="775"/>
      <c r="X16" s="1813"/>
      <c r="Y16" s="3352"/>
      <c r="Z16" s="1814"/>
      <c r="AA16" s="1811">
        <v>1</v>
      </c>
      <c r="AB16" s="1811">
        <v>1</v>
      </c>
      <c r="AC16" s="1811">
        <v>1</v>
      </c>
    </row>
    <row r="17" spans="1:29" ht="71.25">
      <c r="A17" s="428"/>
      <c r="B17" s="451" t="s">
        <v>2646</v>
      </c>
      <c r="C17" s="2663"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352"/>
      <c r="Q17" s="1810" t="str">
        <f>B17</f>
        <v>商业繁华度</v>
      </c>
      <c r="R17" s="774" t="s">
        <v>17</v>
      </c>
      <c r="S17" s="775">
        <f>F17</f>
        <v>100</v>
      </c>
      <c r="T17" s="774" t="s">
        <v>17</v>
      </c>
      <c r="U17" s="775">
        <f>H17</f>
        <v>100</v>
      </c>
      <c r="V17" s="774" t="s">
        <v>17</v>
      </c>
      <c r="W17" s="775">
        <f>J17</f>
        <v>100</v>
      </c>
      <c r="X17" s="1813"/>
      <c r="Y17" s="3352"/>
      <c r="Z17" s="1814" t="str">
        <f>Q17</f>
        <v>商业繁华度</v>
      </c>
      <c r="AA17" s="1811">
        <f t="shared" si="3"/>
        <v>1</v>
      </c>
      <c r="AB17" s="1811">
        <f t="shared" si="4"/>
        <v>1</v>
      </c>
      <c r="AC17" s="1811">
        <f t="shared" si="5"/>
        <v>1</v>
      </c>
    </row>
    <row r="18" spans="1:29" ht="15">
      <c r="A18" s="428"/>
      <c r="B18" s="456"/>
      <c r="C18" s="2607"/>
      <c r="D18" s="450"/>
      <c r="E18" s="2609"/>
      <c r="F18" s="450"/>
      <c r="G18" s="2609"/>
      <c r="H18" s="448"/>
      <c r="I18" s="2608"/>
      <c r="J18" s="448"/>
      <c r="K18" s="672"/>
      <c r="L18" s="1140"/>
      <c r="M18" s="1131"/>
      <c r="N18" s="1131"/>
      <c r="O18" s="1139"/>
      <c r="P18" s="3352"/>
      <c r="Q18" s="1810"/>
      <c r="R18" s="774"/>
      <c r="S18" s="775"/>
      <c r="T18" s="774"/>
      <c r="U18" s="775"/>
      <c r="V18" s="774"/>
      <c r="W18" s="775"/>
      <c r="X18" s="1813"/>
      <c r="Y18" s="3352"/>
      <c r="Z18" s="1814"/>
      <c r="AA18" s="1811">
        <v>1</v>
      </c>
      <c r="AB18" s="1811">
        <v>1</v>
      </c>
      <c r="AC18" s="1811">
        <v>1</v>
      </c>
    </row>
    <row r="19" spans="1:29" ht="71.25">
      <c r="A19" s="428"/>
      <c r="B19" s="451" t="s">
        <v>2680</v>
      </c>
      <c r="C19" s="2663"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352"/>
      <c r="Q19" s="1810" t="str">
        <f>B19</f>
        <v>办公集聚程度</v>
      </c>
      <c r="R19" s="774" t="s">
        <v>17</v>
      </c>
      <c r="S19" s="775">
        <f>F19</f>
        <v>100</v>
      </c>
      <c r="T19" s="774" t="s">
        <v>17</v>
      </c>
      <c r="U19" s="775">
        <f>H19</f>
        <v>100</v>
      </c>
      <c r="V19" s="774" t="s">
        <v>17</v>
      </c>
      <c r="W19" s="775">
        <f>J19</f>
        <v>100</v>
      </c>
      <c r="X19" s="1813"/>
      <c r="Y19" s="3352"/>
      <c r="Z19" s="1814" t="str">
        <f>Q19</f>
        <v>办公集聚程度</v>
      </c>
      <c r="AA19" s="1811">
        <f t="shared" si="3"/>
        <v>1</v>
      </c>
      <c r="AB19" s="1811">
        <f t="shared" si="4"/>
        <v>1</v>
      </c>
      <c r="AC19" s="1811">
        <f t="shared" si="5"/>
        <v>1</v>
      </c>
    </row>
    <row r="20" spans="1:29" ht="15">
      <c r="A20" s="428"/>
      <c r="B20" s="456"/>
      <c r="C20" s="447"/>
      <c r="D20" s="448"/>
      <c r="E20" s="2604"/>
      <c r="F20" s="448"/>
      <c r="G20" s="2604"/>
      <c r="H20" s="448"/>
      <c r="I20" s="2603"/>
      <c r="J20" s="448"/>
      <c r="K20" s="672"/>
      <c r="L20" s="1140"/>
      <c r="M20" s="1131"/>
      <c r="N20" s="1131"/>
      <c r="O20" s="1139"/>
      <c r="P20" s="3352"/>
      <c r="Q20" s="1810"/>
      <c r="R20" s="774"/>
      <c r="S20" s="775"/>
      <c r="T20" s="774"/>
      <c r="U20" s="775"/>
      <c r="V20" s="774"/>
      <c r="W20" s="775"/>
      <c r="X20" s="1813"/>
      <c r="Y20" s="3352"/>
      <c r="Z20" s="1814"/>
      <c r="AA20" s="1811">
        <v>1</v>
      </c>
      <c r="AB20" s="1811">
        <v>1</v>
      </c>
      <c r="AC20" s="1811">
        <v>1</v>
      </c>
    </row>
    <row r="21" spans="1:29" ht="85.5">
      <c r="A21" s="428"/>
      <c r="B21" s="451" t="s">
        <v>2702</v>
      </c>
      <c r="C21" s="2606"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352"/>
      <c r="Q21" s="1810" t="str">
        <f>B21</f>
        <v>交通便捷度</v>
      </c>
      <c r="R21" s="774" t="s">
        <v>17</v>
      </c>
      <c r="S21" s="775">
        <f>F21</f>
        <v>100</v>
      </c>
      <c r="T21" s="774" t="s">
        <v>17</v>
      </c>
      <c r="U21" s="775">
        <f>H21</f>
        <v>100</v>
      </c>
      <c r="V21" s="774" t="s">
        <v>17</v>
      </c>
      <c r="W21" s="775">
        <f>J21</f>
        <v>100</v>
      </c>
      <c r="X21" s="1813"/>
      <c r="Y21" s="3352"/>
      <c r="Z21" s="1814" t="str">
        <f>Q21</f>
        <v>交通便捷度</v>
      </c>
      <c r="AA21" s="1811">
        <f t="shared" si="3"/>
        <v>1</v>
      </c>
      <c r="AB21" s="1811">
        <f t="shared" si="4"/>
        <v>1</v>
      </c>
      <c r="AC21" s="1811">
        <f t="shared" si="5"/>
        <v>1</v>
      </c>
    </row>
    <row r="22" spans="1:29" ht="15">
      <c r="A22" s="428"/>
      <c r="B22" s="1384"/>
      <c r="C22" s="447"/>
      <c r="D22" s="450"/>
      <c r="E22" s="2604"/>
      <c r="F22" s="448"/>
      <c r="G22" s="2604"/>
      <c r="H22" s="448"/>
      <c r="I22" s="2603"/>
      <c r="J22" s="448"/>
      <c r="K22" s="672"/>
      <c r="L22" s="1140"/>
      <c r="M22" s="1131"/>
      <c r="N22" s="1131"/>
      <c r="O22" s="1139"/>
      <c r="P22" s="3352"/>
      <c r="Q22" s="1810"/>
      <c r="R22" s="774"/>
      <c r="S22" s="775"/>
      <c r="T22" s="774"/>
      <c r="U22" s="775"/>
      <c r="V22" s="774"/>
      <c r="W22" s="775"/>
      <c r="X22" s="1813"/>
      <c r="Y22" s="3352"/>
      <c r="Z22" s="1814"/>
      <c r="AA22" s="1811">
        <v>1</v>
      </c>
      <c r="AB22" s="1811">
        <v>1</v>
      </c>
      <c r="AC22" s="1811">
        <v>1</v>
      </c>
    </row>
    <row r="23" spans="1:29" ht="15">
      <c r="A23" s="404"/>
      <c r="B23" s="451" t="s">
        <v>2741</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352"/>
      <c r="Q23" s="1810" t="str">
        <f t="shared" ref="Q23:Q37" si="8">B23</f>
        <v>区域土地利用方向</v>
      </c>
      <c r="R23" s="774" t="s">
        <v>17</v>
      </c>
      <c r="S23" s="775">
        <f>F23</f>
        <v>100</v>
      </c>
      <c r="T23" s="774" t="s">
        <v>17</v>
      </c>
      <c r="U23" s="775">
        <f>H23</f>
        <v>100</v>
      </c>
      <c r="V23" s="774" t="s">
        <v>17</v>
      </c>
      <c r="W23" s="775">
        <f>J23</f>
        <v>100</v>
      </c>
      <c r="X23" s="1813"/>
      <c r="Y23" s="3352"/>
      <c r="Z23" s="1814" t="str">
        <f>Q23</f>
        <v>区域土地利用方向</v>
      </c>
      <c r="AA23" s="1811">
        <f t="shared" si="3"/>
        <v>1</v>
      </c>
      <c r="AB23" s="1811">
        <f t="shared" si="4"/>
        <v>1</v>
      </c>
      <c r="AC23" s="1811">
        <f t="shared" si="5"/>
        <v>1</v>
      </c>
    </row>
    <row r="24" spans="1:29" ht="15">
      <c r="A24" s="404"/>
      <c r="B24" s="456"/>
      <c r="C24" s="616"/>
      <c r="D24" s="448"/>
      <c r="E24" s="2604"/>
      <c r="F24" s="448"/>
      <c r="G24" s="2603"/>
      <c r="H24" s="448"/>
      <c r="I24" s="2603"/>
      <c r="J24" s="448"/>
      <c r="K24" s="809"/>
      <c r="L24" s="1140"/>
      <c r="M24" s="1131"/>
      <c r="N24" s="1131"/>
      <c r="O24" s="1139"/>
      <c r="P24" s="3352"/>
      <c r="Q24" s="1810"/>
      <c r="R24" s="774"/>
      <c r="S24" s="775"/>
      <c r="T24" s="774"/>
      <c r="U24" s="775"/>
      <c r="V24" s="774"/>
      <c r="W24" s="775"/>
      <c r="X24" s="1813"/>
      <c r="Y24" s="3352"/>
      <c r="Z24" s="1814"/>
      <c r="AA24" s="1811"/>
      <c r="AB24" s="1811"/>
      <c r="AC24" s="1811"/>
    </row>
    <row r="25" spans="1:29" ht="57">
      <c r="A25" s="404"/>
      <c r="B25" s="1384" t="s">
        <v>2742</v>
      </c>
      <c r="C25" s="2663"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352"/>
      <c r="Q25" s="1810" t="str">
        <f t="shared" si="8"/>
        <v>自然及人文环境状况</v>
      </c>
      <c r="R25" s="774" t="s">
        <v>17</v>
      </c>
      <c r="S25" s="775">
        <f>F25</f>
        <v>100</v>
      </c>
      <c r="T25" s="774" t="s">
        <v>17</v>
      </c>
      <c r="U25" s="775">
        <f>H25</f>
        <v>100</v>
      </c>
      <c r="V25" s="774" t="s">
        <v>17</v>
      </c>
      <c r="W25" s="775">
        <f>J25</f>
        <v>100</v>
      </c>
      <c r="X25" s="1813"/>
      <c r="Y25" s="3352"/>
      <c r="Z25" s="1814" t="str">
        <f>Q25</f>
        <v>自然及人文环境状况</v>
      </c>
      <c r="AA25" s="1811">
        <f t="shared" si="3"/>
        <v>1</v>
      </c>
      <c r="AB25" s="1811">
        <f t="shared" si="4"/>
        <v>1</v>
      </c>
      <c r="AC25" s="1811">
        <f t="shared" si="5"/>
        <v>1</v>
      </c>
    </row>
    <row r="26" spans="1:29" ht="15">
      <c r="A26" s="404"/>
      <c r="B26" s="456"/>
      <c r="C26" s="447"/>
      <c r="D26" s="448"/>
      <c r="E26" s="2610"/>
      <c r="F26" s="448"/>
      <c r="G26" s="2610"/>
      <c r="H26" s="448"/>
      <c r="I26" s="447"/>
      <c r="J26" s="448"/>
      <c r="K26" s="672"/>
      <c r="L26" s="1140"/>
      <c r="M26" s="1131"/>
      <c r="N26" s="1131"/>
      <c r="O26" s="1139"/>
      <c r="P26" s="3352"/>
      <c r="Q26" s="1810"/>
      <c r="R26" s="774"/>
      <c r="S26" s="775"/>
      <c r="T26" s="774"/>
      <c r="U26" s="775"/>
      <c r="V26" s="774"/>
      <c r="W26" s="775"/>
      <c r="X26" s="1813"/>
      <c r="Y26" s="3352"/>
      <c r="Z26" s="1814"/>
      <c r="AA26" s="1811">
        <v>1</v>
      </c>
      <c r="AB26" s="1811">
        <v>1</v>
      </c>
      <c r="AC26" s="1811">
        <v>1</v>
      </c>
    </row>
    <row r="27" spans="1:29" s="117" customFormat="1" ht="42.75">
      <c r="A27" s="649"/>
      <c r="B27" s="1384" t="s">
        <v>2647</v>
      </c>
      <c r="C27" s="2606"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352"/>
      <c r="Q27" s="1795" t="str">
        <f t="shared" si="8"/>
        <v>公共配套设施</v>
      </c>
      <c r="R27" s="770" t="s">
        <v>17</v>
      </c>
      <c r="S27" s="771">
        <f>F27</f>
        <v>100</v>
      </c>
      <c r="T27" s="770" t="s">
        <v>17</v>
      </c>
      <c r="U27" s="771">
        <f>H27</f>
        <v>100</v>
      </c>
      <c r="V27" s="770" t="s">
        <v>17</v>
      </c>
      <c r="W27" s="771">
        <f>J27</f>
        <v>100</v>
      </c>
      <c r="X27" s="772"/>
      <c r="Y27" s="3352"/>
      <c r="Z27" s="55" t="str">
        <f>Q27</f>
        <v>公共配套设施</v>
      </c>
      <c r="AA27" s="1811">
        <f>D27/F27</f>
        <v>1</v>
      </c>
      <c r="AB27" s="1811">
        <f>D27/H27</f>
        <v>1</v>
      </c>
      <c r="AC27" s="1811">
        <f>D27/J27</f>
        <v>1</v>
      </c>
    </row>
    <row r="28" spans="1:29" s="117" customFormat="1" ht="15">
      <c r="A28" s="649"/>
      <c r="B28" s="456"/>
      <c r="C28" s="2699"/>
      <c r="D28" s="448"/>
      <c r="E28" s="2610"/>
      <c r="F28" s="448"/>
      <c r="G28" s="2610"/>
      <c r="H28" s="448"/>
      <c r="I28" s="447"/>
      <c r="J28" s="448"/>
      <c r="K28" s="672"/>
      <c r="L28" s="1132"/>
      <c r="M28" s="1133"/>
      <c r="N28" s="1133"/>
      <c r="O28" s="1134"/>
      <c r="P28" s="3352"/>
      <c r="Q28" s="1795"/>
      <c r="R28" s="770"/>
      <c r="S28" s="771"/>
      <c r="T28" s="770"/>
      <c r="U28" s="771"/>
      <c r="V28" s="770"/>
      <c r="W28" s="771"/>
      <c r="X28" s="772"/>
      <c r="Y28" s="3352"/>
      <c r="Z28" s="55"/>
      <c r="AA28" s="1811">
        <v>1</v>
      </c>
      <c r="AB28" s="1811">
        <v>1</v>
      </c>
      <c r="AC28" s="1811">
        <v>1</v>
      </c>
    </row>
    <row r="29" spans="1:29" s="117" customFormat="1" ht="28.5">
      <c r="A29" s="649"/>
      <c r="B29" s="1384" t="s">
        <v>2648</v>
      </c>
      <c r="C29" s="2606"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352"/>
      <c r="Q29" s="1795" t="str">
        <f t="shared" ref="Q29" si="9">B29</f>
        <v>基础设施水平</v>
      </c>
      <c r="R29" s="770" t="s">
        <v>17</v>
      </c>
      <c r="S29" s="771">
        <f>F29</f>
        <v>100</v>
      </c>
      <c r="T29" s="770" t="s">
        <v>17</v>
      </c>
      <c r="U29" s="771">
        <f>H29</f>
        <v>100</v>
      </c>
      <c r="V29" s="770" t="s">
        <v>17</v>
      </c>
      <c r="W29" s="771">
        <f>J29</f>
        <v>100</v>
      </c>
      <c r="X29" s="772"/>
      <c r="Y29" s="3352"/>
      <c r="Z29" s="55" t="str">
        <f>Q29</f>
        <v>基础设施水平</v>
      </c>
      <c r="AA29" s="1811">
        <f>D29/F29</f>
        <v>1</v>
      </c>
      <c r="AB29" s="1811">
        <f>D29/H29</f>
        <v>1</v>
      </c>
      <c r="AC29" s="1811">
        <f>D29/J29</f>
        <v>1</v>
      </c>
    </row>
    <row r="30" spans="1:29" s="117" customFormat="1" ht="15">
      <c r="A30" s="649"/>
      <c r="B30" s="456"/>
      <c r="C30" s="2699"/>
      <c r="D30" s="448"/>
      <c r="E30" s="2700"/>
      <c r="F30" s="448"/>
      <c r="G30" s="2700"/>
      <c r="H30" s="448"/>
      <c r="I30" s="2700"/>
      <c r="J30" s="448"/>
      <c r="K30" s="672"/>
      <c r="L30" s="1132"/>
      <c r="M30" s="1133"/>
      <c r="N30" s="1133"/>
      <c r="O30" s="1134"/>
      <c r="P30" s="3352"/>
      <c r="Q30" s="1795"/>
      <c r="R30" s="770"/>
      <c r="S30" s="771"/>
      <c r="T30" s="770"/>
      <c r="U30" s="771"/>
      <c r="V30" s="770"/>
      <c r="W30" s="771"/>
      <c r="X30" s="772"/>
      <c r="Y30" s="3352"/>
      <c r="Z30" s="55"/>
      <c r="AA30" s="1811">
        <v>1</v>
      </c>
      <c r="AB30" s="1811">
        <v>1</v>
      </c>
      <c r="AC30" s="1811">
        <v>1</v>
      </c>
    </row>
    <row r="31" spans="1:29" ht="15">
      <c r="A31" s="428"/>
      <c r="B31" s="456" t="s">
        <v>2649</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352"/>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352"/>
      <c r="Z31" s="1814" t="str">
        <f t="shared" ref="Z31:Z45" si="13">Q31</f>
        <v>临街状况</v>
      </c>
      <c r="AA31" s="1811">
        <f t="shared" si="3"/>
        <v>1</v>
      </c>
      <c r="AB31" s="1811">
        <f t="shared" si="4"/>
        <v>1</v>
      </c>
      <c r="AC31" s="1811">
        <f t="shared" si="5"/>
        <v>1</v>
      </c>
    </row>
    <row r="32" spans="1:29" ht="27">
      <c r="A32" s="428"/>
      <c r="B32" s="1384" t="s">
        <v>2684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352"/>
      <c r="Q32" s="1810" t="str">
        <f t="shared" si="8"/>
        <v>毗邻道路的类型与等级</v>
      </c>
      <c r="R32" s="774" t="s">
        <v>17</v>
      </c>
      <c r="S32" s="775">
        <f t="shared" si="10"/>
        <v>100</v>
      </c>
      <c r="T32" s="774" t="s">
        <v>17</v>
      </c>
      <c r="U32" s="775">
        <f t="shared" si="11"/>
        <v>100</v>
      </c>
      <c r="V32" s="774" t="s">
        <v>17</v>
      </c>
      <c r="W32" s="775">
        <f t="shared" si="12"/>
        <v>100</v>
      </c>
      <c r="X32" s="1813"/>
      <c r="Y32" s="3352"/>
      <c r="Z32" s="1814" t="str">
        <f t="shared" si="13"/>
        <v>毗邻道路的类型与等级</v>
      </c>
      <c r="AA32" s="1811">
        <f t="shared" si="3"/>
        <v>1</v>
      </c>
      <c r="AB32" s="1811">
        <f t="shared" si="4"/>
        <v>1</v>
      </c>
      <c r="AC32" s="1811">
        <f t="shared" si="5"/>
        <v>1</v>
      </c>
    </row>
    <row r="33" spans="1:29" ht="15">
      <c r="A33" s="428"/>
      <c r="B33" s="456"/>
      <c r="C33" s="447"/>
      <c r="D33" s="448"/>
      <c r="E33" s="2610"/>
      <c r="F33" s="448"/>
      <c r="G33" s="2610"/>
      <c r="H33" s="448"/>
      <c r="I33" s="447"/>
      <c r="J33" s="448"/>
      <c r="K33" s="613"/>
      <c r="L33" s="1140"/>
      <c r="M33" s="1131"/>
      <c r="N33" s="1131"/>
      <c r="O33" s="1139"/>
      <c r="P33" s="3352"/>
      <c r="Q33" s="1810"/>
      <c r="R33" s="774"/>
      <c r="S33" s="775"/>
      <c r="T33" s="774"/>
      <c r="U33" s="775"/>
      <c r="V33" s="774"/>
      <c r="W33" s="775"/>
      <c r="X33" s="1813"/>
      <c r="Y33" s="3352"/>
      <c r="Z33" s="1814"/>
      <c r="AA33" s="1811">
        <v>1</v>
      </c>
      <c r="AB33" s="1811">
        <v>1</v>
      </c>
      <c r="AC33" s="1811">
        <v>1</v>
      </c>
    </row>
    <row r="34" spans="1:29" ht="15">
      <c r="A34" s="428"/>
      <c r="B34" s="422" t="s">
        <v>2743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352"/>
      <c r="Q34" s="1810" t="str">
        <f t="shared" si="8"/>
        <v>土地级别</v>
      </c>
      <c r="R34" s="774" t="s">
        <v>17</v>
      </c>
      <c r="S34" s="775">
        <f t="shared" si="10"/>
        <v>100</v>
      </c>
      <c r="T34" s="774" t="s">
        <v>17</v>
      </c>
      <c r="U34" s="775">
        <f t="shared" si="11"/>
        <v>100</v>
      </c>
      <c r="V34" s="774" t="s">
        <v>17</v>
      </c>
      <c r="W34" s="775">
        <f t="shared" si="12"/>
        <v>100</v>
      </c>
      <c r="X34" s="1813"/>
      <c r="Y34" s="3352"/>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352"/>
      <c r="Q35" s="1810">
        <f t="shared" si="8"/>
        <v>111</v>
      </c>
      <c r="R35" s="774" t="s">
        <v>17</v>
      </c>
      <c r="S35" s="775">
        <f t="shared" si="10"/>
        <v>100</v>
      </c>
      <c r="T35" s="774" t="s">
        <v>17</v>
      </c>
      <c r="U35" s="775">
        <f t="shared" si="11"/>
        <v>100</v>
      </c>
      <c r="V35" s="774" t="s">
        <v>17</v>
      </c>
      <c r="W35" s="775">
        <f t="shared" si="12"/>
        <v>100</v>
      </c>
      <c r="X35" s="1813"/>
      <c r="Y35" s="3352"/>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353" t="s">
        <v>2558</v>
      </c>
      <c r="Q36" s="1810">
        <f t="shared" si="8"/>
        <v>111</v>
      </c>
      <c r="R36" s="774" t="s">
        <v>17</v>
      </c>
      <c r="S36" s="775">
        <f t="shared" si="10"/>
        <v>100</v>
      </c>
      <c r="T36" s="774" t="s">
        <v>17</v>
      </c>
      <c r="U36" s="775">
        <f t="shared" si="11"/>
        <v>100</v>
      </c>
      <c r="V36" s="774" t="s">
        <v>17</v>
      </c>
      <c r="W36" s="775">
        <f t="shared" si="12"/>
        <v>100</v>
      </c>
      <c r="X36" s="1813"/>
      <c r="Y36" s="3354" t="s">
        <v>2558</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354"/>
      <c r="Q37" s="1810">
        <f t="shared" si="8"/>
        <v>111</v>
      </c>
      <c r="R37" s="777" t="s">
        <v>17</v>
      </c>
      <c r="S37" s="778">
        <f t="shared" si="10"/>
        <v>100</v>
      </c>
      <c r="T37" s="777" t="s">
        <v>17</v>
      </c>
      <c r="U37" s="778">
        <f t="shared" si="11"/>
        <v>100</v>
      </c>
      <c r="V37" s="777" t="s">
        <v>17</v>
      </c>
      <c r="W37" s="778">
        <f t="shared" si="12"/>
        <v>100</v>
      </c>
      <c r="X37" s="779"/>
      <c r="Y37" s="3354"/>
      <c r="Z37" s="780">
        <f t="shared" si="13"/>
        <v>111</v>
      </c>
      <c r="AA37" s="1811">
        <f t="shared" si="3"/>
        <v>1</v>
      </c>
      <c r="AB37" s="1811">
        <f t="shared" si="4"/>
        <v>1</v>
      </c>
      <c r="AC37" s="1811">
        <f t="shared" si="5"/>
        <v>1</v>
      </c>
    </row>
    <row r="38" spans="1:29" ht="15">
      <c r="A38" s="472" t="s">
        <v>2556</v>
      </c>
      <c r="B38" s="456" t="s">
        <v>2744</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354"/>
      <c r="Q38" s="1810" t="str">
        <f>B38</f>
        <v>宗地面积</v>
      </c>
      <c r="R38" s="774" t="s">
        <v>17</v>
      </c>
      <c r="S38" s="775" t="e">
        <f t="shared" si="10"/>
        <v>#N/A</v>
      </c>
      <c r="T38" s="774" t="s">
        <v>17</v>
      </c>
      <c r="U38" s="775" t="e">
        <f t="shared" si="11"/>
        <v>#N/A</v>
      </c>
      <c r="V38" s="774" t="s">
        <v>17</v>
      </c>
      <c r="W38" s="775" t="e">
        <f t="shared" si="12"/>
        <v>#N/A</v>
      </c>
      <c r="X38" s="1813"/>
      <c r="Y38" s="3354"/>
      <c r="Z38" s="1814" t="str">
        <f t="shared" si="13"/>
        <v>宗地面积</v>
      </c>
      <c r="AA38" s="1811" t="e">
        <f t="shared" si="3"/>
        <v>#N/A</v>
      </c>
      <c r="AB38" s="1811" t="e">
        <f t="shared" si="4"/>
        <v>#N/A</v>
      </c>
      <c r="AC38" s="1811" t="e">
        <f t="shared" si="5"/>
        <v>#N/A</v>
      </c>
    </row>
    <row r="39" spans="1:29" ht="15">
      <c r="A39" s="472"/>
      <c r="B39" s="422" t="s">
        <v>2745</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40"/>
      <c r="M39" s="1131"/>
      <c r="N39" s="1131"/>
      <c r="O39" s="1139"/>
      <c r="P39" s="3354"/>
      <c r="Q39" s="1810" t="str">
        <f t="shared" ref="Q39:Q45" si="14">B39</f>
        <v>宗地形状</v>
      </c>
      <c r="R39" s="774" t="s">
        <v>17</v>
      </c>
      <c r="S39" s="775">
        <f t="shared" si="10"/>
        <v>100</v>
      </c>
      <c r="T39" s="774" t="s">
        <v>17</v>
      </c>
      <c r="U39" s="775">
        <f t="shared" si="11"/>
        <v>100</v>
      </c>
      <c r="V39" s="774" t="s">
        <v>17</v>
      </c>
      <c r="W39" s="775">
        <f t="shared" si="12"/>
        <v>100</v>
      </c>
      <c r="X39" s="1813"/>
      <c r="Y39" s="3354"/>
      <c r="Z39" s="1814" t="str">
        <f t="shared" si="13"/>
        <v>宗地形状</v>
      </c>
      <c r="AA39" s="1811">
        <f t="shared" si="3"/>
        <v>1</v>
      </c>
      <c r="AB39" s="1811">
        <f t="shared" si="4"/>
        <v>1</v>
      </c>
      <c r="AC39" s="1811">
        <f t="shared" si="5"/>
        <v>1</v>
      </c>
    </row>
    <row r="40" spans="1:29" ht="15">
      <c r="A40" s="472"/>
      <c r="B40" s="422" t="s">
        <v>2746</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40"/>
      <c r="M40" s="1131"/>
      <c r="N40" s="1131"/>
      <c r="O40" s="1139"/>
      <c r="P40" s="3354"/>
      <c r="Q40" s="1810" t="str">
        <f t="shared" si="14"/>
        <v>临街宽度及深度</v>
      </c>
      <c r="R40" s="774" t="s">
        <v>17</v>
      </c>
      <c r="S40" s="775">
        <f t="shared" si="10"/>
        <v>100</v>
      </c>
      <c r="T40" s="774" t="s">
        <v>17</v>
      </c>
      <c r="U40" s="775">
        <f t="shared" si="11"/>
        <v>100</v>
      </c>
      <c r="V40" s="774" t="s">
        <v>17</v>
      </c>
      <c r="W40" s="775">
        <f t="shared" si="12"/>
        <v>100</v>
      </c>
      <c r="X40" s="1813"/>
      <c r="Y40" s="3354"/>
      <c r="Z40" s="1814" t="str">
        <f t="shared" si="13"/>
        <v>临街宽度及深度</v>
      </c>
      <c r="AA40" s="1811">
        <f t="shared" si="3"/>
        <v>1</v>
      </c>
      <c r="AB40" s="1811">
        <f t="shared" si="4"/>
        <v>1</v>
      </c>
      <c r="AC40" s="1811">
        <f t="shared" si="5"/>
        <v>1</v>
      </c>
    </row>
    <row r="41" spans="1:29" s="117" customFormat="1" ht="15">
      <c r="A41" s="473"/>
      <c r="B41" s="422" t="s">
        <v>2747</v>
      </c>
      <c r="C41" s="2701"/>
      <c r="D41" s="136">
        <v>100</v>
      </c>
      <c r="E41" s="2701"/>
      <c r="F41" s="435">
        <f>SUMIF(123:123,E41,124:124)-SUMIF(123:123,C41,124:124)+100</f>
        <v>100</v>
      </c>
      <c r="G41" s="2701"/>
      <c r="H41" s="435">
        <f>SUMIF(123:123,G41,124:124)-SUMIF(123:123,C41,124:124)+100</f>
        <v>100</v>
      </c>
      <c r="I41" s="2701"/>
      <c r="J41" s="435">
        <f>SUMIF(123:123,I41,124:124)-SUMIF(123:123,C41,124:124)+100</f>
        <v>100</v>
      </c>
      <c r="K41" s="612"/>
      <c r="L41" s="1132"/>
      <c r="M41" s="1133"/>
      <c r="N41" s="1133"/>
      <c r="O41" s="1134"/>
      <c r="P41" s="3354"/>
      <c r="Q41" s="1810" t="str">
        <f t="shared" si="14"/>
        <v>宗地开发程度</v>
      </c>
      <c r="R41" s="770" t="s">
        <v>17</v>
      </c>
      <c r="S41" s="771">
        <f t="shared" si="10"/>
        <v>100</v>
      </c>
      <c r="T41" s="770" t="s">
        <v>17</v>
      </c>
      <c r="U41" s="771">
        <f t="shared" si="11"/>
        <v>100</v>
      </c>
      <c r="V41" s="770" t="s">
        <v>17</v>
      </c>
      <c r="W41" s="771">
        <f t="shared" si="12"/>
        <v>100</v>
      </c>
      <c r="X41" s="772"/>
      <c r="Y41" s="3354"/>
      <c r="Z41" s="55" t="str">
        <f t="shared" si="13"/>
        <v>宗地开发程度</v>
      </c>
      <c r="AA41" s="773">
        <f t="shared" si="3"/>
        <v>1</v>
      </c>
      <c r="AB41" s="773">
        <f t="shared" si="4"/>
        <v>1</v>
      </c>
      <c r="AC41" s="773">
        <f t="shared" si="5"/>
        <v>1</v>
      </c>
    </row>
    <row r="42" spans="1:29" ht="15">
      <c r="A42" s="472"/>
      <c r="B42" s="422" t="s">
        <v>2748</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40"/>
      <c r="M42" s="1131"/>
      <c r="N42" s="1131"/>
      <c r="O42" s="1139"/>
      <c r="P42" s="3354" t="s">
        <v>2558</v>
      </c>
      <c r="Q42" s="1810" t="str">
        <f t="shared" si="14"/>
        <v>工程地质条件</v>
      </c>
      <c r="R42" s="774" t="s">
        <v>17</v>
      </c>
      <c r="S42" s="775">
        <f t="shared" si="10"/>
        <v>100</v>
      </c>
      <c r="T42" s="774" t="s">
        <v>17</v>
      </c>
      <c r="U42" s="775">
        <f t="shared" si="11"/>
        <v>100</v>
      </c>
      <c r="V42" s="774" t="s">
        <v>17</v>
      </c>
      <c r="W42" s="775">
        <f t="shared" si="12"/>
        <v>100</v>
      </c>
      <c r="X42" s="1813"/>
      <c r="Y42" s="3354" t="s">
        <v>2558</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354"/>
      <c r="Q43" s="1810">
        <f t="shared" si="14"/>
        <v>111</v>
      </c>
      <c r="R43" s="774" t="s">
        <v>17</v>
      </c>
      <c r="S43" s="775">
        <f t="shared" si="10"/>
        <v>100</v>
      </c>
      <c r="T43" s="774" t="s">
        <v>17</v>
      </c>
      <c r="U43" s="775">
        <f t="shared" si="11"/>
        <v>100</v>
      </c>
      <c r="V43" s="774" t="s">
        <v>17</v>
      </c>
      <c r="W43" s="775">
        <f t="shared" si="12"/>
        <v>100</v>
      </c>
      <c r="X43" s="1813"/>
      <c r="Y43" s="3354"/>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354"/>
      <c r="Q44" s="1810">
        <f t="shared" si="14"/>
        <v>111</v>
      </c>
      <c r="R44" s="774" t="s">
        <v>17</v>
      </c>
      <c r="S44" s="775">
        <f t="shared" si="10"/>
        <v>100</v>
      </c>
      <c r="T44" s="774" t="s">
        <v>17</v>
      </c>
      <c r="U44" s="775">
        <f t="shared" si="11"/>
        <v>100</v>
      </c>
      <c r="V44" s="774" t="s">
        <v>17</v>
      </c>
      <c r="W44" s="775">
        <f t="shared" si="12"/>
        <v>100</v>
      </c>
      <c r="X44" s="1813"/>
      <c r="Y44" s="3354"/>
      <c r="Z44" s="1814">
        <f t="shared" si="13"/>
        <v>111</v>
      </c>
      <c r="AA44" s="1811">
        <f t="shared" si="3"/>
        <v>1</v>
      </c>
      <c r="AB44" s="1811">
        <f t="shared" si="4"/>
        <v>1</v>
      </c>
      <c r="AC44" s="1811">
        <f t="shared" si="5"/>
        <v>1</v>
      </c>
    </row>
    <row r="45" spans="1:29" s="471" customFormat="1" ht="15.75" thickBot="1">
      <c r="A45" s="468"/>
      <c r="B45" s="1387">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354"/>
      <c r="Q45" s="1810">
        <f t="shared" si="14"/>
        <v>111</v>
      </c>
      <c r="R45" s="777" t="s">
        <v>17</v>
      </c>
      <c r="S45" s="778">
        <f t="shared" si="10"/>
        <v>100</v>
      </c>
      <c r="T45" s="777" t="s">
        <v>17</v>
      </c>
      <c r="U45" s="778">
        <f t="shared" si="11"/>
        <v>100</v>
      </c>
      <c r="V45" s="777" t="s">
        <v>17</v>
      </c>
      <c r="W45" s="778">
        <f t="shared" si="12"/>
        <v>100</v>
      </c>
      <c r="X45" s="779"/>
      <c r="Y45" s="3354"/>
      <c r="Z45" s="780">
        <f t="shared" si="13"/>
        <v>111</v>
      </c>
      <c r="AA45" s="1811">
        <f t="shared" si="3"/>
        <v>1</v>
      </c>
      <c r="AB45" s="1811">
        <f t="shared" si="4"/>
        <v>1</v>
      </c>
      <c r="AC45" s="1811">
        <f t="shared" si="5"/>
        <v>1</v>
      </c>
    </row>
    <row r="46" spans="1:29" ht="15">
      <c r="A46" s="479" t="s">
        <v>2713</v>
      </c>
      <c r="B46" s="2703" t="s">
        <v>2749</v>
      </c>
      <c r="C46" s="682" t="s">
        <v>1</v>
      </c>
      <c r="D46" s="481"/>
      <c r="E46" s="482"/>
      <c r="F46" s="483"/>
      <c r="G46" s="484"/>
      <c r="H46" s="485"/>
      <c r="I46" s="482"/>
      <c r="J46" s="485"/>
      <c r="K46" s="783"/>
      <c r="L46" s="1143"/>
      <c r="M46" s="1144"/>
      <c r="N46" s="1131"/>
      <c r="O46" s="1144"/>
      <c r="P46" s="3348" t="str">
        <f>A46</f>
        <v>成交单价</v>
      </c>
      <c r="Q46" s="3348"/>
      <c r="R46" s="3350">
        <f>E46</f>
        <v>0</v>
      </c>
      <c r="S46" s="3350"/>
      <c r="T46" s="3350">
        <f>G46</f>
        <v>0</v>
      </c>
      <c r="U46" s="3350"/>
      <c r="V46" s="3350">
        <f>I46</f>
        <v>0</v>
      </c>
      <c r="W46" s="3350"/>
      <c r="X46" s="759"/>
      <c r="Y46" s="781"/>
      <c r="Z46" s="759"/>
      <c r="AA46" s="759"/>
      <c r="AB46" s="759"/>
      <c r="AC46" s="759"/>
    </row>
    <row r="47" spans="1:29" ht="15.75" thickBot="1">
      <c r="A47" s="486" t="s">
        <v>2662</v>
      </c>
      <c r="B47" s="683"/>
      <c r="C47" s="490" t="e">
        <f>R48</f>
        <v>#DIV/0!</v>
      </c>
      <c r="D47" s="489"/>
      <c r="E47" s="490" t="e">
        <f>R47</f>
        <v>#DIV/0!</v>
      </c>
      <c r="F47" s="491"/>
      <c r="G47" s="488" t="e">
        <f>T47</f>
        <v>#DIV/0!</v>
      </c>
      <c r="H47" s="489"/>
      <c r="I47" s="490" t="e">
        <f>V47</f>
        <v>#DIV/0!</v>
      </c>
      <c r="J47" s="489"/>
      <c r="K47" s="784"/>
      <c r="L47" s="1143"/>
      <c r="M47" s="1144"/>
      <c r="N47" s="1144"/>
      <c r="O47" s="1144"/>
      <c r="P47" s="3348" t="str">
        <f>A47</f>
        <v>比较价值（元/平方米）</v>
      </c>
      <c r="Q47" s="3348"/>
      <c r="R47" s="3349" t="e">
        <f>ROUND(PRODUCT(R46,AA7:AA45),0)</f>
        <v>#DIV/0!</v>
      </c>
      <c r="S47" s="3349"/>
      <c r="T47" s="3349" t="e">
        <f>ROUND(PRODUCT(T46,AB7:AB45),0)</f>
        <v>#DIV/0!</v>
      </c>
      <c r="U47" s="3349"/>
      <c r="V47" s="3349" t="e">
        <f>ROUND(PRODUCT(V46,AC7:AC45),0)</f>
        <v>#DIV/0!</v>
      </c>
      <c r="W47" s="3349"/>
      <c r="X47" s="759"/>
      <c r="Y47" s="759"/>
      <c r="Z47" s="759"/>
      <c r="AA47" s="759"/>
      <c r="AB47" s="759"/>
      <c r="AC47" s="759"/>
    </row>
    <row r="48" spans="1:29" ht="15.75" thickBot="1">
      <c r="A48" s="492" t="s">
        <v>2750</v>
      </c>
      <c r="B48" s="493"/>
      <c r="C48" s="494" t="e">
        <f>R48</f>
        <v>#DIV/0!</v>
      </c>
      <c r="D48" s="494"/>
      <c r="E48" s="494"/>
      <c r="F48" s="494"/>
      <c r="G48" s="494"/>
      <c r="H48" s="494"/>
      <c r="I48" s="494"/>
      <c r="J48" s="494"/>
      <c r="K48" s="785"/>
      <c r="L48" s="1143"/>
      <c r="M48" s="1144"/>
      <c r="N48" s="1144"/>
      <c r="O48" s="1144"/>
      <c r="P48" s="3345" t="str">
        <f>A48</f>
        <v>估价对象XX用房的比较价值（楼面单价，元/平方米）</v>
      </c>
      <c r="Q48" s="3346"/>
      <c r="R48" s="3347" t="e">
        <f>ROUND(AVERAGE(R47:V47),0)</f>
        <v>#DIV/0!</v>
      </c>
      <c r="S48" s="3347"/>
      <c r="T48" s="3347"/>
      <c r="U48" s="3347"/>
      <c r="V48" s="3347"/>
      <c r="W48" s="3347"/>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2664</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2665</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2666</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2751</v>
      </c>
      <c r="B55" s="685" t="s">
        <v>2752</v>
      </c>
      <c r="C55" s="2704" t="s">
        <v>2753</v>
      </c>
      <c r="D55" s="2705" t="s">
        <v>2754</v>
      </c>
      <c r="E55" s="686" t="s">
        <v>2755</v>
      </c>
      <c r="F55" s="1107" t="s">
        <v>2756</v>
      </c>
      <c r="G55" s="3358" t="s">
        <v>2757</v>
      </c>
      <c r="H55" s="3372"/>
      <c r="I55" s="144" t="s">
        <v>2758</v>
      </c>
      <c r="J55" s="2706" t="str">
        <f>项目基本情况!F35</f>
        <v>广东省</v>
      </c>
      <c r="K55" s="2707" t="s">
        <v>2759</v>
      </c>
      <c r="L55" s="1106"/>
      <c r="M55" s="1144"/>
      <c r="N55" s="1144"/>
      <c r="O55" s="1144"/>
    </row>
    <row r="56" spans="1:15" s="692" customFormat="1">
      <c r="A56" s="688" t="s">
        <v>2760</v>
      </c>
      <c r="B56" s="689" t="e">
        <f>C48</f>
        <v>#DIV/0!</v>
      </c>
      <c r="C56" s="690">
        <v>1</v>
      </c>
      <c r="D56" s="1163">
        <v>1</v>
      </c>
      <c r="E56" s="690">
        <f>'数据-汇总表'!E8+'数据-汇总表'!E9</f>
        <v>192636.23</v>
      </c>
      <c r="F56" s="1103" t="e">
        <f t="shared" ref="F56:F65" si="15">ROUND(B56*E56/10000,0)</f>
        <v>#DIV/0!</v>
      </c>
      <c r="G56" s="3373"/>
      <c r="H56" s="3348"/>
      <c r="I56" s="1108">
        <v>1</v>
      </c>
      <c r="J56" s="1111">
        <v>1</v>
      </c>
      <c r="K56" s="1145"/>
      <c r="L56" s="941"/>
      <c r="M56" s="941"/>
      <c r="N56" s="941"/>
      <c r="O56" s="941"/>
    </row>
    <row r="57" spans="1:15" s="692" customFormat="1">
      <c r="A57" s="693" t="s">
        <v>2761</v>
      </c>
      <c r="B57" s="262" t="e">
        <f>ROUND($C$48*C57*D57,0)</f>
        <v>#DIV/0!</v>
      </c>
      <c r="C57" s="200">
        <f t="shared" ref="C57:C65" si="16">IF($C$55="北京市系数",I57,J57)</f>
        <v>0</v>
      </c>
      <c r="D57" s="1164">
        <v>0.25</v>
      </c>
      <c r="E57" s="694"/>
      <c r="F57" s="1103" t="e">
        <f t="shared" si="15"/>
        <v>#DIV/0!</v>
      </c>
      <c r="G57" s="3374" t="s">
        <v>2762</v>
      </c>
      <c r="H57" s="1104">
        <f>项目基本情况!B37</f>
        <v>0</v>
      </c>
      <c r="I57" s="1108">
        <f>SUMIF(修正!A45:A56,H57,修正!B45:B56)</f>
        <v>0</v>
      </c>
      <c r="J57" s="1112"/>
      <c r="K57" s="1144"/>
      <c r="L57" s="941"/>
      <c r="M57" s="941"/>
      <c r="N57" s="941"/>
      <c r="O57" s="941"/>
    </row>
    <row r="58" spans="1:15" s="692" customFormat="1">
      <c r="A58" s="693" t="s">
        <v>2763</v>
      </c>
      <c r="B58" s="262" t="e">
        <f t="shared" ref="B58:B65" si="17">ROUND($C$48*C58*D58,0)</f>
        <v>#DIV/0!</v>
      </c>
      <c r="C58" s="200">
        <f t="shared" si="16"/>
        <v>0</v>
      </c>
      <c r="D58" s="1164">
        <v>0.25</v>
      </c>
      <c r="E58" s="694"/>
      <c r="F58" s="1103" t="e">
        <f t="shared" si="15"/>
        <v>#DIV/0!</v>
      </c>
      <c r="G58" s="3374"/>
      <c r="H58" s="1104">
        <f>项目基本情况!B37</f>
        <v>0</v>
      </c>
      <c r="I58" s="1108">
        <f>SUMIF(修正!A45:A56,H58,修正!C45:C56)</f>
        <v>0</v>
      </c>
      <c r="J58" s="1112"/>
      <c r="K58" s="1145"/>
      <c r="L58" s="941"/>
      <c r="M58" s="941"/>
      <c r="N58" s="941"/>
      <c r="O58" s="941"/>
    </row>
    <row r="59" spans="1:15" s="692" customFormat="1">
      <c r="A59" s="693" t="s">
        <v>2764</v>
      </c>
      <c r="B59" s="262" t="e">
        <f t="shared" si="17"/>
        <v>#DIV/0!</v>
      </c>
      <c r="C59" s="200">
        <f t="shared" si="16"/>
        <v>0</v>
      </c>
      <c r="D59" s="1164">
        <v>0.25</v>
      </c>
      <c r="E59" s="694"/>
      <c r="F59" s="1103" t="e">
        <f t="shared" si="15"/>
        <v>#DIV/0!</v>
      </c>
      <c r="G59" s="3374"/>
      <c r="H59" s="1104">
        <f>项目基本情况!B37</f>
        <v>0</v>
      </c>
      <c r="I59" s="1108">
        <f>SUMIF(修正!A45:A56,H59,修正!D45:D56)</f>
        <v>0</v>
      </c>
      <c r="J59" s="1112"/>
      <c r="K59" s="1144"/>
      <c r="L59" s="941"/>
      <c r="M59" s="941"/>
      <c r="N59" s="941"/>
      <c r="O59" s="941"/>
    </row>
    <row r="60" spans="1:15" s="692" customFormat="1">
      <c r="A60" s="693" t="s">
        <v>2765</v>
      </c>
      <c r="B60" s="262" t="e">
        <f t="shared" si="17"/>
        <v>#DIV/0!</v>
      </c>
      <c r="C60" s="200">
        <f t="shared" si="16"/>
        <v>0</v>
      </c>
      <c r="D60" s="1164">
        <v>0.25</v>
      </c>
      <c r="E60" s="694"/>
      <c r="F60" s="1103" t="e">
        <f t="shared" si="15"/>
        <v>#DIV/0!</v>
      </c>
      <c r="G60" s="3374"/>
      <c r="H60" s="1104">
        <f>项目基本情况!B37</f>
        <v>0</v>
      </c>
      <c r="I60" s="1108">
        <f>SUMIF(修正!A45:A56,H60,修正!E45:E56)</f>
        <v>0</v>
      </c>
      <c r="J60" s="1112"/>
      <c r="K60" s="1145"/>
      <c r="L60" s="941"/>
      <c r="M60" s="941"/>
      <c r="N60" s="941"/>
      <c r="O60" s="941"/>
    </row>
    <row r="61" spans="1:15" s="692" customFormat="1">
      <c r="A61" s="693" t="s">
        <v>2766</v>
      </c>
      <c r="B61" s="262" t="e">
        <f t="shared" si="17"/>
        <v>#DIV/0!</v>
      </c>
      <c r="C61" s="200">
        <f t="shared" si="16"/>
        <v>0</v>
      </c>
      <c r="D61" s="1164">
        <v>0.25</v>
      </c>
      <c r="E61" s="261">
        <f>'数据-汇总表'!E11</f>
        <v>0</v>
      </c>
      <c r="F61" s="1103" t="e">
        <f t="shared" si="15"/>
        <v>#DIV/0!</v>
      </c>
      <c r="G61" s="2708" t="s">
        <v>2767</v>
      </c>
      <c r="H61" s="1104">
        <f>项目基本情况!C37</f>
        <v>0</v>
      </c>
      <c r="I61" s="1108">
        <f>SUMIF(修正!A45:A56,H61,修正!F45:F56)</f>
        <v>0</v>
      </c>
      <c r="J61" s="1112"/>
      <c r="K61" s="1144"/>
      <c r="L61" s="941"/>
      <c r="M61" s="941"/>
      <c r="N61" s="941"/>
      <c r="O61" s="941"/>
    </row>
    <row r="62" spans="1:15" s="692" customFormat="1">
      <c r="A62" s="693" t="s">
        <v>2768</v>
      </c>
      <c r="B62" s="262" t="e">
        <f t="shared" si="17"/>
        <v>#DIV/0!</v>
      </c>
      <c r="C62" s="200">
        <f t="shared" si="16"/>
        <v>0</v>
      </c>
      <c r="D62" s="1164">
        <v>0.25</v>
      </c>
      <c r="E62" s="261">
        <f>'数据-汇总表'!E12</f>
        <v>0</v>
      </c>
      <c r="F62" s="1103" t="e">
        <f t="shared" si="15"/>
        <v>#DIV/0!</v>
      </c>
      <c r="G62" s="1109" t="s">
        <v>2769</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2770</v>
      </c>
      <c r="B63" s="262" t="e">
        <f t="shared" si="17"/>
        <v>#DIV/0!</v>
      </c>
      <c r="C63" s="200">
        <f t="shared" si="16"/>
        <v>0</v>
      </c>
      <c r="D63" s="1164">
        <v>0.25</v>
      </c>
      <c r="E63" s="261">
        <f>'数据-汇总表'!E13</f>
        <v>0</v>
      </c>
      <c r="F63" s="1103" t="e">
        <f t="shared" si="15"/>
        <v>#DIV/0!</v>
      </c>
      <c r="G63" s="1109" t="s">
        <v>2771</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2772</v>
      </c>
      <c r="B64" s="262" t="e">
        <f t="shared" si="17"/>
        <v>#DIV/0!</v>
      </c>
      <c r="C64" s="200">
        <f t="shared" si="16"/>
        <v>0</v>
      </c>
      <c r="D64" s="1164">
        <v>0.25</v>
      </c>
      <c r="E64" s="261">
        <f>'数据-汇总表'!E14</f>
        <v>0</v>
      </c>
      <c r="F64" s="1103" t="e">
        <f t="shared" si="15"/>
        <v>#DIV/0!</v>
      </c>
      <c r="G64" s="2708" t="s">
        <v>2762</v>
      </c>
      <c r="H64" s="1104">
        <f>项目基本情况!B37</f>
        <v>0</v>
      </c>
      <c r="I64" s="1108">
        <f>SUMIF(修正!A45:A56,H64,修正!H45:H56)</f>
        <v>0</v>
      </c>
      <c r="J64" s="1112"/>
      <c r="K64" s="1145"/>
      <c r="L64" s="941"/>
      <c r="M64" s="941"/>
      <c r="N64" s="941"/>
      <c r="O64" s="941"/>
    </row>
    <row r="65" spans="1:17" s="692" customFormat="1" ht="15" thickBot="1">
      <c r="A65" s="693" t="s">
        <v>2773</v>
      </c>
      <c r="B65" s="262" t="e">
        <f t="shared" si="17"/>
        <v>#DIV/0!</v>
      </c>
      <c r="C65" s="200">
        <f t="shared" si="16"/>
        <v>0</v>
      </c>
      <c r="D65" s="1164">
        <v>0.25</v>
      </c>
      <c r="E65" s="261">
        <f>'数据-汇总表'!E15</f>
        <v>0</v>
      </c>
      <c r="F65" s="1103" t="e">
        <f t="shared" si="15"/>
        <v>#DIV/0!</v>
      </c>
      <c r="G65" s="2709" t="s">
        <v>2767</v>
      </c>
      <c r="H65" s="1114">
        <f>项目基本情况!C37</f>
        <v>0</v>
      </c>
      <c r="I65" s="1110">
        <f>SUMIF(修正!A45:A56,H65,修正!H45:H56)</f>
        <v>0</v>
      </c>
      <c r="J65" s="1113"/>
      <c r="K65" s="1144"/>
      <c r="L65" s="941"/>
      <c r="M65" s="941"/>
      <c r="N65" s="941"/>
      <c r="O65" s="941"/>
    </row>
    <row r="66" spans="1:17" s="692" customFormat="1" ht="13.5" thickBot="1">
      <c r="A66" s="695" t="s">
        <v>2774</v>
      </c>
      <c r="B66" s="696" t="s">
        <v>28</v>
      </c>
      <c r="C66" s="696" t="s">
        <v>29</v>
      </c>
      <c r="D66" s="696" t="s">
        <v>1026</v>
      </c>
      <c r="E66" s="696">
        <f>IF(B46="楼面地价",SUM(E56:E65),'数据-汇总表'!D3)</f>
        <v>192636.23</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2019-3-1</v>
      </c>
      <c r="D68" s="761">
        <f>EDATE(C68,-3)</f>
        <v>43435</v>
      </c>
      <c r="E68" s="761">
        <f>EDATE(D68,-3)</f>
        <v>43344</v>
      </c>
      <c r="F68" s="761">
        <f t="shared" ref="F68:O68" si="18">EDATE(E68,-3)</f>
        <v>43252</v>
      </c>
      <c r="G68" s="761">
        <f t="shared" si="18"/>
        <v>43160</v>
      </c>
      <c r="H68" s="761">
        <f t="shared" si="18"/>
        <v>43070</v>
      </c>
      <c r="I68" s="761">
        <f t="shared" si="18"/>
        <v>42979</v>
      </c>
      <c r="J68" s="761">
        <f t="shared" si="18"/>
        <v>42887</v>
      </c>
      <c r="K68" s="761">
        <f t="shared" si="18"/>
        <v>42795</v>
      </c>
      <c r="L68" s="761">
        <f t="shared" si="18"/>
        <v>42705</v>
      </c>
      <c r="M68" s="761">
        <f t="shared" si="18"/>
        <v>42614</v>
      </c>
      <c r="N68" s="761">
        <f t="shared" si="18"/>
        <v>42522</v>
      </c>
      <c r="O68" s="761">
        <f t="shared" si="18"/>
        <v>42430</v>
      </c>
    </row>
    <row r="69" spans="1:17" ht="21.75" thickBot="1">
      <c r="A69" s="763" t="s">
        <v>2667</v>
      </c>
      <c r="B69" s="759"/>
      <c r="C69" s="764"/>
      <c r="D69" s="764"/>
      <c r="E69" s="764"/>
      <c r="F69" s="765"/>
      <c r="G69" s="765"/>
      <c r="H69" s="764"/>
      <c r="I69" s="764"/>
      <c r="J69" s="1159"/>
      <c r="K69" s="1160"/>
      <c r="L69" s="1161"/>
      <c r="M69" s="1159"/>
      <c r="N69" s="1159"/>
      <c r="O69" s="1159"/>
      <c r="P69" s="503"/>
      <c r="Q69" s="504"/>
    </row>
    <row r="70" spans="1:17" s="508" customFormat="1" ht="15">
      <c r="A70" s="2710" t="s">
        <v>2775</v>
      </c>
      <c r="B70" s="1359"/>
      <c r="C70" s="1572" t="str">
        <f>YEAR(C68)&amp;"-"&amp;ROUNDUP(MONTH(C68)/3,0)</f>
        <v>2019-1</v>
      </c>
      <c r="D70" s="1572" t="str">
        <f>YEAR(D68)&amp;"-"&amp;ROUNDUP(MONTH(D68)/3,0)</f>
        <v>2018-4</v>
      </c>
      <c r="E70" s="1572" t="str">
        <f t="shared" ref="E70:O70" si="19">YEAR(E68)&amp;"-"&amp;ROUNDUP(MONTH(E68)/3,0)</f>
        <v>2018-3</v>
      </c>
      <c r="F70" s="1572" t="str">
        <f t="shared" si="19"/>
        <v>2018-2</v>
      </c>
      <c r="G70" s="1572" t="str">
        <f t="shared" si="19"/>
        <v>2018-1</v>
      </c>
      <c r="H70" s="1572" t="str">
        <f t="shared" si="19"/>
        <v>2017-4</v>
      </c>
      <c r="I70" s="1572" t="str">
        <f t="shared" si="19"/>
        <v>2017-3</v>
      </c>
      <c r="J70" s="1572" t="str">
        <f t="shared" si="19"/>
        <v>2017-2</v>
      </c>
      <c r="K70" s="1572" t="str">
        <f t="shared" si="19"/>
        <v>2017-1</v>
      </c>
      <c r="L70" s="1572" t="str">
        <f t="shared" si="19"/>
        <v>2016-4</v>
      </c>
      <c r="M70" s="1572" t="str">
        <f t="shared" si="19"/>
        <v>2016-3</v>
      </c>
      <c r="N70" s="1572" t="str">
        <f t="shared" si="19"/>
        <v>2016-2</v>
      </c>
      <c r="O70" s="1572" t="str">
        <f t="shared" si="19"/>
        <v>2016-1</v>
      </c>
      <c r="P70" s="507"/>
    </row>
    <row r="71" spans="1:17" s="117" customFormat="1" ht="30" customHeight="1">
      <c r="A71" s="2711" t="s">
        <v>2776</v>
      </c>
      <c r="B71" s="332" t="str">
        <f>"北京市平均增长率"&amp;TEXT(SUMIF(基准地价修正!N21:N25,A71,基准地价修正!P21:P25),"0.00%")</f>
        <v>北京市平均增长率2.34%</v>
      </c>
      <c r="C71" s="603">
        <v>100</v>
      </c>
      <c r="D71" s="595"/>
      <c r="E71" s="595"/>
      <c r="F71" s="595"/>
      <c r="G71" s="595"/>
      <c r="H71" s="595"/>
      <c r="I71" s="595"/>
      <c r="J71" s="595"/>
      <c r="K71" s="595"/>
      <c r="L71" s="595"/>
      <c r="M71" s="1567"/>
      <c r="N71" s="595"/>
      <c r="O71" s="1568"/>
      <c r="P71" s="504"/>
    </row>
    <row r="72" spans="1:17" s="117" customFormat="1" ht="15.75" thickBot="1">
      <c r="A72" s="515" t="s">
        <v>2578</v>
      </c>
      <c r="B72" s="516"/>
      <c r="C72" s="517"/>
      <c r="D72" s="518"/>
      <c r="E72" s="518"/>
      <c r="F72" s="518"/>
      <c r="G72" s="518"/>
      <c r="H72" s="518"/>
      <c r="I72" s="518"/>
      <c r="J72" s="518"/>
      <c r="K72" s="518"/>
      <c r="L72" s="518"/>
      <c r="M72" s="519"/>
      <c r="N72" s="518"/>
      <c r="O72" s="1162"/>
      <c r="P72" s="504"/>
      <c r="Q72" s="504"/>
    </row>
    <row r="73" spans="1:17" s="117" customFormat="1" ht="15">
      <c r="A73" s="521" t="s">
        <v>2543</v>
      </c>
      <c r="B73" s="510"/>
      <c r="C73" s="522" t="s">
        <v>2645</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2581</v>
      </c>
      <c r="B75" s="528" t="s">
        <v>2547</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2550</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2551</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2552</v>
      </c>
      <c r="B88" s="528" t="s">
        <v>2589</v>
      </c>
      <c r="C88" s="573" t="s">
        <v>2590</v>
      </c>
      <c r="D88" s="573" t="s">
        <v>2591</v>
      </c>
      <c r="E88" s="573" t="s">
        <v>2592</v>
      </c>
      <c r="F88" s="573" t="s">
        <v>2593</v>
      </c>
      <c r="G88" s="573" t="s">
        <v>2594</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2777</v>
      </c>
      <c r="C90" s="578" t="s">
        <v>2590</v>
      </c>
      <c r="D90" s="578" t="s">
        <v>2591</v>
      </c>
      <c r="E90" s="578" t="s">
        <v>2592</v>
      </c>
      <c r="F90" s="578" t="s">
        <v>2593</v>
      </c>
      <c r="G90" s="578" t="s">
        <v>2594</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2690</v>
      </c>
      <c r="C92" s="578" t="s">
        <v>2590</v>
      </c>
      <c r="D92" s="578" t="s">
        <v>2591</v>
      </c>
      <c r="E92" s="578" t="s">
        <v>2592</v>
      </c>
      <c r="F92" s="578" t="s">
        <v>2593</v>
      </c>
      <c r="G92" s="578" t="s">
        <v>2594</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2595</v>
      </c>
      <c r="C94" s="578" t="s">
        <v>2590</v>
      </c>
      <c r="D94" s="578" t="s">
        <v>2591</v>
      </c>
      <c r="E94" s="578" t="s">
        <v>2592</v>
      </c>
      <c r="F94" s="578" t="s">
        <v>2593</v>
      </c>
      <c r="G94" s="578" t="s">
        <v>2594</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2778</v>
      </c>
      <c r="C96" s="578" t="s">
        <v>2590</v>
      </c>
      <c r="D96" s="578" t="s">
        <v>2591</v>
      </c>
      <c r="E96" s="578" t="s">
        <v>2592</v>
      </c>
      <c r="F96" s="578" t="s">
        <v>2593</v>
      </c>
      <c r="G96" s="578" t="s">
        <v>2594</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2779</v>
      </c>
      <c r="C98" s="573" t="s">
        <v>2590</v>
      </c>
      <c r="D98" s="573" t="s">
        <v>2591</v>
      </c>
      <c r="E98" s="573" t="s">
        <v>2592</v>
      </c>
      <c r="F98" s="573" t="s">
        <v>2593</v>
      </c>
      <c r="G98" s="573" t="s">
        <v>2594</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2647</v>
      </c>
      <c r="C100" s="573" t="s">
        <v>2590</v>
      </c>
      <c r="D100" s="573" t="s">
        <v>2591</v>
      </c>
      <c r="E100" s="573" t="s">
        <v>2592</v>
      </c>
      <c r="F100" s="573" t="s">
        <v>2593</v>
      </c>
      <c r="G100" s="573" t="s">
        <v>2594</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2648</v>
      </c>
      <c r="C102" s="660" t="s">
        <v>2668</v>
      </c>
      <c r="D102" s="660" t="s">
        <v>2669</v>
      </c>
      <c r="E102" s="660" t="s">
        <v>2670</v>
      </c>
      <c r="F102" s="660" t="s">
        <v>2671</v>
      </c>
      <c r="G102" s="660" t="s">
        <v>2672</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2780</v>
      </c>
      <c r="D104" s="539" t="s">
        <v>2781</v>
      </c>
      <c r="E104" s="539" t="s">
        <v>2782</v>
      </c>
      <c r="F104" s="539" t="s">
        <v>2783</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2684</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2743</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2556</v>
      </c>
      <c r="B116" s="528" t="s">
        <v>2784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2785</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2786</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2787</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2788</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8" priority="14" stopIfTrue="1" operator="containsText" text="超过">
      <formula>NOT(ISERROR(SEARCH("超过",F51)))</formula>
    </cfRule>
  </conditionalFormatting>
  <conditionalFormatting sqref="J53">
    <cfRule type="containsText" dxfId="17" priority="13" stopIfTrue="1" operator="containsText" text="超过">
      <formula>NOT(ISERROR(SEARCH("超过",J53)))</formula>
    </cfRule>
  </conditionalFormatting>
  <conditionalFormatting sqref="H53">
    <cfRule type="containsText" dxfId="16" priority="12" stopIfTrue="1" operator="containsText" text="超过">
      <formula>NOT(ISERROR(SEARCH("超过",H53)))</formula>
    </cfRule>
  </conditionalFormatting>
  <conditionalFormatting sqref="F53">
    <cfRule type="containsText" dxfId="15" priority="11" stopIfTrue="1" operator="containsText" text="超过">
      <formula>NOT(ISERROR(SEARCH("超过",F53)))</formula>
    </cfRule>
  </conditionalFormatting>
  <conditionalFormatting sqref="F52 H52 J52">
    <cfRule type="containsText" dxfId="14" priority="10" stopIfTrue="1" operator="containsText" text="超过">
      <formula>NOT(ISERROR(SEARCH("超过",F52)))</formula>
    </cfRule>
  </conditionalFormatting>
  <conditionalFormatting sqref="E51">
    <cfRule type="expression" dxfId="13" priority="9" stopIfTrue="1">
      <formula>$F$51="超过30%"</formula>
    </cfRule>
  </conditionalFormatting>
  <conditionalFormatting sqref="G53">
    <cfRule type="expression" dxfId="12" priority="8" stopIfTrue="1">
      <formula>$H$53="超过30%"</formula>
    </cfRule>
  </conditionalFormatting>
  <conditionalFormatting sqref="E52">
    <cfRule type="expression" dxfId="11" priority="7" stopIfTrue="1">
      <formula>$F$52="超过20%"</formula>
    </cfRule>
  </conditionalFormatting>
  <conditionalFormatting sqref="E53">
    <cfRule type="expression" dxfId="10" priority="6" stopIfTrue="1">
      <formula>$F$53="超过30%"</formula>
    </cfRule>
  </conditionalFormatting>
  <conditionalFormatting sqref="G51">
    <cfRule type="expression" dxfId="9" priority="5" stopIfTrue="1">
      <formula>$H$53+$H$51="超过30%"</formula>
    </cfRule>
  </conditionalFormatting>
  <conditionalFormatting sqref="G52">
    <cfRule type="expression" dxfId="8" priority="4" stopIfTrue="1">
      <formula>$H$52="超过20%"</formula>
    </cfRule>
  </conditionalFormatting>
  <conditionalFormatting sqref="I51">
    <cfRule type="expression" dxfId="7" priority="3" stopIfTrue="1">
      <formula>$J$51="超过30%"</formula>
    </cfRule>
  </conditionalFormatting>
  <conditionalFormatting sqref="I52">
    <cfRule type="expression" dxfId="6" priority="2" stopIfTrue="1">
      <formula>$J$52="超过20%"</formula>
    </cfRule>
  </conditionalFormatting>
  <conditionalFormatting sqref="I53">
    <cfRule type="expression" dxfId="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C19" sqref="C19"/>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2" customWidth="1"/>
    <col min="33" max="36" width="9.375" style="2795" customWidth="1"/>
    <col min="37" max="38" width="9.375" style="2719" customWidth="1"/>
    <col min="39" max="16384" width="12" style="2719"/>
  </cols>
  <sheetData>
    <row r="1" spans="1:36" ht="28.5">
      <c r="A1" s="240" t="s">
        <v>2796</v>
      </c>
      <c r="B1" s="241"/>
      <c r="C1" s="245" t="s">
        <v>2797</v>
      </c>
      <c r="D1" s="388">
        <f>SUM(D29:D30,D33:D39)</f>
        <v>0</v>
      </c>
      <c r="E1" s="2716"/>
      <c r="F1" s="2716"/>
      <c r="G1" s="2716"/>
      <c r="H1" s="2716"/>
      <c r="I1" s="2716"/>
      <c r="J1" s="2716"/>
      <c r="K1" s="1370"/>
      <c r="L1" s="2717" t="s">
        <v>2798</v>
      </c>
      <c r="M1" s="1080">
        <f>SUMPRODUCT((区片价!B5:B9=I2)*(区片价!C3:F3=E2)*(区片价!C5:F9))</f>
        <v>0</v>
      </c>
      <c r="N1" s="1083">
        <f>SUMPRODUCT((因素修正幅度!B5:B9=I2)*(因素修正幅度!C3:F3=E2)*(因素修正幅度!C5:F9))</f>
        <v>0</v>
      </c>
      <c r="O1" s="2718"/>
      <c r="P1" s="2718"/>
      <c r="Q1" s="1370"/>
      <c r="R1" s="1602" t="s">
        <v>2799</v>
      </c>
      <c r="S1" s="1602" t="s">
        <v>2800</v>
      </c>
      <c r="T1" s="1602" t="s">
        <v>2801</v>
      </c>
      <c r="U1" s="1602" t="s">
        <v>2802</v>
      </c>
      <c r="V1" s="1602" t="s">
        <v>2803</v>
      </c>
      <c r="W1" s="1606"/>
      <c r="X1" s="1606"/>
      <c r="Y1" s="1606"/>
      <c r="Z1" s="1606"/>
      <c r="AA1" s="1606"/>
      <c r="AB1" s="1606"/>
      <c r="AC1" s="1607"/>
      <c r="AD1" s="1608"/>
      <c r="AE1" s="1608"/>
      <c r="AF1" s="1608"/>
      <c r="AG1" s="1608"/>
      <c r="AH1" s="1608"/>
      <c r="AI1" s="1608"/>
      <c r="AJ1" s="1609"/>
    </row>
    <row r="2" spans="1:36" ht="15.75">
      <c r="A2" s="245" t="s">
        <v>2804</v>
      </c>
      <c r="B2" s="248" t="e">
        <f>C26</f>
        <v>#DIV/0!</v>
      </c>
      <c r="C2" s="2720" t="s">
        <v>2805</v>
      </c>
      <c r="D2" s="2721" t="s">
        <v>2806</v>
      </c>
      <c r="E2" s="2722"/>
      <c r="F2" s="2721" t="s">
        <v>2807</v>
      </c>
      <c r="G2" s="2723">
        <f>IF(E2="商业",项目基本情况!B37,IF(E2="办公",项目基本情况!C37,IF(E2="住宅",项目基本情况!D37,项目基本情况!E37)))</f>
        <v>0</v>
      </c>
      <c r="H2" s="2721" t="s">
        <v>2808</v>
      </c>
      <c r="I2" s="2723">
        <f>IF(E2="商业",项目基本情况!B38,IF(E2="办公",项目基本情况!C38,IF(E2="住宅",项目基本情况!D38,项目基本情况!E38)))</f>
        <v>0</v>
      </c>
      <c r="J2" s="2724"/>
      <c r="K2" s="1370"/>
      <c r="L2" s="2725" t="s">
        <v>2809</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2810</v>
      </c>
      <c r="B3" s="248" t="e">
        <f>ROUND(B2*10000/D1,0)</f>
        <v>#DIV/0!</v>
      </c>
      <c r="C3" s="2720" t="s">
        <v>2811</v>
      </c>
      <c r="D3" s="2721" t="s">
        <v>2812</v>
      </c>
      <c r="E3" s="2726"/>
      <c r="F3" s="2727" t="s">
        <v>2813</v>
      </c>
      <c r="G3" s="913">
        <f>IF(F3="宗地容积率",'数据-汇总表'!I4,IF(F3="估价对象容积率",'数据-汇总表'!I6,'数据-汇总表'!I7))</f>
        <v>2.0099999999999998</v>
      </c>
      <c r="H3" s="198" t="s">
        <v>2814</v>
      </c>
      <c r="I3" s="944"/>
      <c r="J3" s="2724" t="s">
        <v>2815</v>
      </c>
      <c r="K3" s="1370"/>
      <c r="L3" s="2725" t="s">
        <v>2816</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461"/>
      <c r="B4" s="3462"/>
      <c r="C4" s="3462"/>
      <c r="D4" s="3463"/>
      <c r="E4" s="3463"/>
      <c r="F4" s="3463"/>
      <c r="G4" s="3463"/>
      <c r="H4" s="3463"/>
      <c r="I4" s="3463"/>
      <c r="J4" s="3464"/>
      <c r="K4" s="1370"/>
      <c r="L4" s="2725" t="s">
        <v>2817</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7" customFormat="1" ht="15.75" thickBot="1">
      <c r="A5" s="2728" t="s">
        <v>807</v>
      </c>
      <c r="B5" s="2729" t="s">
        <v>2818</v>
      </c>
      <c r="C5" s="914" t="e">
        <f>ROUND(IF(E2="商业",IF(F16="增加",C6*C7+C16,C6*C7-C16),IF(E2="住宅",IF(F16="增加",C6*C12+C16,C6*C12-C16),IF(F16="增加",C6+C16,C6-C16))),0)</f>
        <v>#DIV/0!</v>
      </c>
      <c r="D5" s="1787" t="e">
        <f>ROUND(IF(F16="增加",C6+C16,C6-C16),0)</f>
        <v>#DIV/0!</v>
      </c>
      <c r="E5" s="1787"/>
      <c r="F5" s="2730"/>
      <c r="G5" s="2731"/>
      <c r="H5" s="2731"/>
      <c r="I5" s="2731"/>
      <c r="J5" s="2732"/>
      <c r="K5" s="2733"/>
      <c r="L5" s="2725" t="s">
        <v>2819</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4"/>
      <c r="AD5" s="2735"/>
      <c r="AE5" s="2735"/>
      <c r="AF5" s="2735"/>
      <c r="AG5" s="2735"/>
      <c r="AH5" s="2735"/>
      <c r="AI5" s="2735"/>
      <c r="AJ5" s="2736"/>
    </row>
    <row r="6" spans="1:36" ht="15.75" thickBot="1">
      <c r="A6" s="2738" t="s">
        <v>2820</v>
      </c>
      <c r="B6" s="2739" t="s">
        <v>2821</v>
      </c>
      <c r="C6" s="915">
        <f>SUMIF(L1:L12,G2,M1:M12)</f>
        <v>0</v>
      </c>
      <c r="D6" s="2740" t="s">
        <v>2822</v>
      </c>
      <c r="E6" s="2741"/>
      <c r="F6" s="2741"/>
      <c r="G6" s="2742"/>
      <c r="H6" s="2742"/>
      <c r="I6" s="2742"/>
      <c r="J6" s="2743"/>
      <c r="K6" s="1842"/>
      <c r="L6" s="2725" t="s">
        <v>2823</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4"/>
      <c r="AD6" s="2735"/>
      <c r="AE6" s="2735"/>
      <c r="AF6" s="2735"/>
      <c r="AG6" s="2735"/>
      <c r="AH6" s="2735"/>
      <c r="AI6" s="2735"/>
      <c r="AJ6" s="2736"/>
    </row>
    <row r="7" spans="1:36" ht="24">
      <c r="A7" s="3447" t="str">
        <f>IF(E2="商业",IF(C8="不临58条商业街","",2),"")</f>
        <v/>
      </c>
      <c r="B7" s="2744" t="s">
        <v>2824</v>
      </c>
      <c r="C7" s="916" t="e">
        <f>IF(C8="不临58条商业街",1,ROUND(1+(1.6*E8+1.2*E9+0.8*E10+0.4*E11)*C9,4))</f>
        <v>#DIV/0!</v>
      </c>
      <c r="D7" s="2745" t="s">
        <v>2825</v>
      </c>
      <c r="E7" s="945"/>
      <c r="F7" s="2746"/>
      <c r="G7" s="2747"/>
      <c r="H7" s="2747"/>
      <c r="I7" s="2747"/>
      <c r="J7" s="2748"/>
      <c r="K7" s="1842"/>
      <c r="L7" s="2725" t="s">
        <v>2826</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2827</v>
      </c>
      <c r="X7" s="1604">
        <f>G2</f>
        <v>0</v>
      </c>
      <c r="Y7" s="1604" t="s">
        <v>2828</v>
      </c>
      <c r="Z7" s="1605">
        <f>G3</f>
        <v>2.0099999999999998</v>
      </c>
      <c r="AA7" s="1606"/>
      <c r="AB7" s="1606"/>
      <c r="AC7" s="1607"/>
      <c r="AD7" s="1608"/>
      <c r="AE7" s="1608"/>
      <c r="AF7" s="1608"/>
      <c r="AG7" s="1608"/>
      <c r="AH7" s="1608"/>
      <c r="AI7" s="1608"/>
      <c r="AJ7" s="1609"/>
    </row>
    <row r="8" spans="1:36" ht="15">
      <c r="A8" s="3448"/>
      <c r="B8" s="198" t="s">
        <v>2829</v>
      </c>
      <c r="C8" s="2749"/>
      <c r="D8" s="917" t="s">
        <v>139</v>
      </c>
      <c r="E8" s="918" t="e">
        <f>ROUND(C11/E7,4)</f>
        <v>#DIV/0!</v>
      </c>
      <c r="F8" s="2750" t="s">
        <v>2830</v>
      </c>
      <c r="G8" s="2751"/>
      <c r="H8" s="2751"/>
      <c r="I8" s="2751"/>
      <c r="J8" s="2752"/>
      <c r="K8" s="1370"/>
      <c r="L8" s="2725" t="s">
        <v>2831</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458" t="s">
        <v>2832</v>
      </c>
      <c r="X8" s="3459"/>
      <c r="Y8" s="1610" t="s">
        <v>2833</v>
      </c>
      <c r="Z8" s="1610" t="s">
        <v>2834</v>
      </c>
      <c r="AA8" s="1610" t="s">
        <v>2835</v>
      </c>
      <c r="AB8" s="1610" t="s">
        <v>2836</v>
      </c>
      <c r="AC8" s="1610" t="s">
        <v>2837</v>
      </c>
      <c r="AD8" s="1610" t="s">
        <v>2838</v>
      </c>
      <c r="AE8" s="1610" t="s">
        <v>2839</v>
      </c>
      <c r="AF8" s="1610" t="s">
        <v>2840</v>
      </c>
      <c r="AG8" s="1610" t="s">
        <v>2841</v>
      </c>
      <c r="AH8" s="1610" t="s">
        <v>2842</v>
      </c>
      <c r="AI8" s="1610" t="s">
        <v>2843</v>
      </c>
      <c r="AJ8" s="1610" t="s">
        <v>2844</v>
      </c>
    </row>
    <row r="9" spans="1:36" ht="15">
      <c r="A9" s="3448"/>
      <c r="B9" s="198" t="s">
        <v>2845</v>
      </c>
      <c r="C9" s="919">
        <f>SUMIF(修正!C59:C119,C8,修正!E59:E119)</f>
        <v>0</v>
      </c>
      <c r="D9" s="200" t="s">
        <v>140</v>
      </c>
      <c r="E9" s="200" t="e">
        <f>ROUND(C11/E7,4)</f>
        <v>#DIV/0!</v>
      </c>
      <c r="F9" s="2750" t="s">
        <v>2846</v>
      </c>
      <c r="G9" s="2751"/>
      <c r="H9" s="2751"/>
      <c r="I9" s="2751"/>
      <c r="J9" s="2752"/>
      <c r="K9" s="1370"/>
      <c r="L9" s="2725" t="s">
        <v>2847</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460" t="s">
        <v>2848</v>
      </c>
      <c r="X9" s="1611" t="s">
        <v>2849</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448"/>
      <c r="B10" s="198" t="s">
        <v>2850</v>
      </c>
      <c r="C10" s="200">
        <f>SUMIF(修正!C59:C119,C8,修正!F59:F119)</f>
        <v>0</v>
      </c>
      <c r="D10" s="200" t="s">
        <v>141</v>
      </c>
      <c r="E10" s="200" t="e">
        <f>ROUND(C11/E7,4)</f>
        <v>#DIV/0!</v>
      </c>
      <c r="F10" s="2750" t="s">
        <v>2851</v>
      </c>
      <c r="G10" s="2751"/>
      <c r="H10" s="2751"/>
      <c r="I10" s="2751"/>
      <c r="J10" s="2752"/>
      <c r="K10" s="1370"/>
      <c r="L10" s="2725" t="s">
        <v>2852</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460"/>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448"/>
      <c r="B11" s="2753" t="s">
        <v>2853</v>
      </c>
      <c r="C11" s="920">
        <f>C10/4</f>
        <v>0</v>
      </c>
      <c r="D11" s="920" t="s">
        <v>142</v>
      </c>
      <c r="E11" s="920" t="e">
        <f>ROUND(C11/E7,4)</f>
        <v>#DIV/0!</v>
      </c>
      <c r="F11" s="2754" t="s">
        <v>2854</v>
      </c>
      <c r="G11" s="2755"/>
      <c r="H11" s="2755"/>
      <c r="I11" s="2755"/>
      <c r="J11" s="2756"/>
      <c r="K11" s="1370"/>
      <c r="L11" s="2725" t="s">
        <v>2855</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460" t="s">
        <v>2856</v>
      </c>
      <c r="X11" s="1614" t="s">
        <v>2857</v>
      </c>
      <c r="Y11" s="1615">
        <f>$G$3</f>
        <v>2.0099999999999998</v>
      </c>
      <c r="Z11" s="1615">
        <f t="shared" ref="Z11:AJ11" si="3">$G$3</f>
        <v>2.0099999999999998</v>
      </c>
      <c r="AA11" s="1615">
        <f t="shared" si="3"/>
        <v>2.0099999999999998</v>
      </c>
      <c r="AB11" s="1615">
        <f t="shared" si="3"/>
        <v>2.0099999999999998</v>
      </c>
      <c r="AC11" s="1615">
        <f t="shared" si="3"/>
        <v>2.0099999999999998</v>
      </c>
      <c r="AD11" s="1615">
        <f t="shared" si="3"/>
        <v>2.0099999999999998</v>
      </c>
      <c r="AE11" s="1615">
        <f t="shared" si="3"/>
        <v>2.0099999999999998</v>
      </c>
      <c r="AF11" s="1615">
        <f t="shared" si="3"/>
        <v>2.0099999999999998</v>
      </c>
      <c r="AG11" s="1615">
        <f t="shared" si="3"/>
        <v>2.0099999999999998</v>
      </c>
      <c r="AH11" s="1615">
        <f t="shared" si="3"/>
        <v>2.0099999999999998</v>
      </c>
      <c r="AI11" s="1615">
        <f t="shared" si="3"/>
        <v>2.0099999999999998</v>
      </c>
      <c r="AJ11" s="1615">
        <f t="shared" si="3"/>
        <v>2.0099999999999998</v>
      </c>
    </row>
    <row r="12" spans="1:36" ht="25.5" thickBot="1">
      <c r="A12" s="3447" t="s">
        <v>2858</v>
      </c>
      <c r="B12" s="2757" t="s">
        <v>2859</v>
      </c>
      <c r="C12" s="916">
        <f>ROUND(C15*D15*E15*F15*G15*H15*I15*J15,4)</f>
        <v>1</v>
      </c>
      <c r="D12" s="2758" t="s">
        <v>2860</v>
      </c>
      <c r="E12" s="2759"/>
      <c r="F12" s="2759"/>
      <c r="G12" s="2760"/>
      <c r="H12" s="2760"/>
      <c r="I12" s="2760"/>
      <c r="J12" s="2761"/>
      <c r="K12" s="1370"/>
      <c r="L12" s="2762" t="s">
        <v>2861</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460"/>
      <c r="X12" s="1616" t="s">
        <v>2862</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465"/>
      <c r="B13" s="2763" t="s">
        <v>2863</v>
      </c>
      <c r="C13" s="2764" t="s">
        <v>2864</v>
      </c>
      <c r="D13" s="1808" t="s">
        <v>2865</v>
      </c>
      <c r="E13" s="1808" t="s">
        <v>2866</v>
      </c>
      <c r="F13" s="30" t="s">
        <v>2867</v>
      </c>
      <c r="G13" s="2765" t="s">
        <v>2868</v>
      </c>
      <c r="H13" s="2765" t="s">
        <v>2868</v>
      </c>
      <c r="I13" s="2765" t="s">
        <v>2868</v>
      </c>
      <c r="J13" s="2766" t="s">
        <v>2868</v>
      </c>
      <c r="K13" s="1370"/>
      <c r="L13" s="1370"/>
      <c r="M13" s="1370"/>
      <c r="N13" s="1370"/>
      <c r="O13" s="1370"/>
      <c r="P13" s="1370"/>
      <c r="Q13" s="1370"/>
      <c r="R13" s="1602">
        <v>12</v>
      </c>
      <c r="S13" s="1603"/>
      <c r="T13" s="1602" t="e">
        <f t="shared" si="0"/>
        <v>#DIV/0!</v>
      </c>
      <c r="U13" s="1603"/>
      <c r="V13" s="1602" t="e">
        <f t="shared" si="1"/>
        <v>#DIV/0!</v>
      </c>
      <c r="W13" s="3460"/>
      <c r="X13" s="1616"/>
      <c r="Y13" s="1613">
        <f>(-0.163*(Y12^2)-0.59*Y12+7617)*(10^(-4))/Y11</f>
        <v>0.3789552238805971</v>
      </c>
      <c r="Z13" s="1613">
        <f t="shared" ref="Z13:AJ13" si="5">(-0.163*(Z12^2)-0.59*Z12+7617)*(10^(-4))/Z11</f>
        <v>0.3789552238805971</v>
      </c>
      <c r="AA13" s="1613">
        <f t="shared" si="5"/>
        <v>0.3789552238805971</v>
      </c>
      <c r="AB13" s="1613">
        <f t="shared" si="5"/>
        <v>0.3789552238805971</v>
      </c>
      <c r="AC13" s="1613">
        <f t="shared" si="5"/>
        <v>0.3789552238805971</v>
      </c>
      <c r="AD13" s="1613">
        <f t="shared" si="5"/>
        <v>0.3789552238805971</v>
      </c>
      <c r="AE13" s="1613">
        <f t="shared" si="5"/>
        <v>0.3789552238805971</v>
      </c>
      <c r="AF13" s="1613">
        <f t="shared" si="5"/>
        <v>0.3789552238805971</v>
      </c>
      <c r="AG13" s="1613">
        <f t="shared" si="5"/>
        <v>0.3789552238805971</v>
      </c>
      <c r="AH13" s="1613">
        <f t="shared" si="5"/>
        <v>0.3789552238805971</v>
      </c>
      <c r="AI13" s="1613">
        <f t="shared" si="5"/>
        <v>0.3789552238805971</v>
      </c>
      <c r="AJ13" s="1613">
        <f t="shared" si="5"/>
        <v>0.3789552238805971</v>
      </c>
    </row>
    <row r="14" spans="1:36" ht="15">
      <c r="A14" s="3465"/>
      <c r="B14" s="2767"/>
      <c r="C14" s="2768"/>
      <c r="D14" s="2769"/>
      <c r="E14" s="2769"/>
      <c r="F14" s="2770"/>
      <c r="G14" s="2771" t="s">
        <v>2869</v>
      </c>
      <c r="H14" s="2772"/>
      <c r="I14" s="2773"/>
      <c r="J14" s="2774"/>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466"/>
      <c r="B15" s="2775" t="s">
        <v>2870</v>
      </c>
      <c r="C15" s="229">
        <f>IF(C14="有",1.1,1)</f>
        <v>1</v>
      </c>
      <c r="D15" s="229">
        <f>IF(D14="有",1.1,1)</f>
        <v>1</v>
      </c>
      <c r="E15" s="229">
        <f>IF(E14="有",1.1,1)</f>
        <v>1</v>
      </c>
      <c r="F15" s="229">
        <f>IF(F14="500米范围内",1.2,IF(F14="500-1000米",1.1,1))</f>
        <v>1</v>
      </c>
      <c r="G15" s="946">
        <v>1</v>
      </c>
      <c r="H15" s="946">
        <v>1</v>
      </c>
      <c r="I15" s="946">
        <v>1</v>
      </c>
      <c r="J15" s="947">
        <v>1</v>
      </c>
      <c r="K15" s="1370"/>
      <c r="L15" s="2776" t="s">
        <v>2806</v>
      </c>
      <c r="M15" s="917" t="s">
        <v>2871</v>
      </c>
      <c r="N15" s="917" t="s">
        <v>2872</v>
      </c>
      <c r="O15" s="917" t="s">
        <v>2873</v>
      </c>
      <c r="P15" s="2777" t="s">
        <v>2874</v>
      </c>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
      <c r="A16" s="3447" t="s">
        <v>2875</v>
      </c>
      <c r="B16" s="2744" t="s">
        <v>2876</v>
      </c>
      <c r="C16" s="1801" t="e">
        <f>ROUND(SUM(G17:J17)/C17,0)</f>
        <v>#DIV/0!</v>
      </c>
      <c r="D16" s="2778" t="s">
        <v>2877</v>
      </c>
      <c r="E16" s="2779"/>
      <c r="F16" s="2780"/>
      <c r="G16" s="2781"/>
      <c r="H16" s="2781"/>
      <c r="I16" s="2781"/>
      <c r="J16" s="2782"/>
      <c r="K16" s="1370"/>
      <c r="L16" s="2783" t="s">
        <v>2878</v>
      </c>
      <c r="M16" s="919">
        <v>0.25</v>
      </c>
      <c r="N16" s="919">
        <v>0.2</v>
      </c>
      <c r="O16" s="919">
        <v>0.15</v>
      </c>
      <c r="P16" s="1369">
        <v>0.1</v>
      </c>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448"/>
      <c r="B17" s="2784" t="s">
        <v>2879</v>
      </c>
      <c r="C17" s="921">
        <f>SUMPRODUCT((修正!A2:A5=E2)*(修正!B1:M1=G2)*(修正!B2:M5))</f>
        <v>0</v>
      </c>
      <c r="D17" s="2785" t="s">
        <v>2880</v>
      </c>
      <c r="E17" s="920" t="str">
        <f>IF(OR(G2="八级",G2="九级",G2="十级",G2="十一级",G2="十二级"),"五通一平","七通一平")</f>
        <v>七通一平</v>
      </c>
      <c r="F17" s="921" t="s">
        <v>2881</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70"/>
      <c r="L17" s="2786" t="s">
        <v>2882</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87"/>
      <c r="AF17" s="2787"/>
      <c r="AG17" s="2719"/>
      <c r="AH17" s="2719"/>
      <c r="AI17" s="2719"/>
      <c r="AJ17" s="2719"/>
    </row>
    <row r="18" spans="1:37" s="2737" customFormat="1" ht="15.75" thickBot="1">
      <c r="A18" s="2788" t="s">
        <v>808</v>
      </c>
      <c r="B18" s="2789" t="s">
        <v>2883</v>
      </c>
      <c r="C18" s="923">
        <f>SUMIF(修正!C18:C39,E3,修正!E18:E39)</f>
        <v>0</v>
      </c>
      <c r="D18" s="2790"/>
      <c r="E18" s="2791"/>
      <c r="F18" s="2792"/>
      <c r="G18" s="2793"/>
      <c r="H18" s="2793"/>
      <c r="I18" s="2793"/>
      <c r="J18" s="2794"/>
      <c r="K18" s="1377"/>
      <c r="O18" s="1375"/>
      <c r="P18" s="1375"/>
      <c r="Q18" s="1376"/>
      <c r="R18" s="1376"/>
      <c r="S18" s="1376"/>
      <c r="T18" s="1371"/>
      <c r="U18" s="1371"/>
      <c r="V18" s="1371"/>
      <c r="W18" s="1370"/>
      <c r="X18" s="1370"/>
      <c r="Y18" s="1370"/>
      <c r="Z18" s="1377"/>
      <c r="AA18" s="1378"/>
      <c r="AB18" s="1378"/>
      <c r="AC18" s="1378"/>
      <c r="AD18" s="1378"/>
      <c r="AE18" s="1372"/>
      <c r="AF18" s="1372"/>
      <c r="AG18" s="2795"/>
      <c r="AH18" s="2795"/>
      <c r="AI18" s="2795"/>
    </row>
    <row r="19" spans="1:37" s="2737" customFormat="1" ht="27.75" thickBot="1">
      <c r="A19" s="2788" t="s">
        <v>809</v>
      </c>
      <c r="B19" s="2789" t="s">
        <v>2884</v>
      </c>
      <c r="C19" s="924" t="e">
        <f>ROUND(IF(H19="按公示增长率计算",SUMPRODUCT((地价!A3:A25=YEAR(G19)&amp;"-"&amp;ROUNDUP(MONTH(G19)/3,0))*(地价!X2:AB2=E2)*(地价!X3:AB25)),IF(H19="地价指数",M20/M19,(1+I19)^O19)),4)</f>
        <v>#DIV/0!</v>
      </c>
      <c r="D19" s="2796" t="s">
        <v>2885</v>
      </c>
      <c r="E19" s="925">
        <v>41640</v>
      </c>
      <c r="F19" s="2796" t="s">
        <v>2886</v>
      </c>
      <c r="G19" s="926">
        <f>'数据-取费表'!B2</f>
        <v>43544</v>
      </c>
      <c r="H19" s="2797" t="s">
        <v>2887</v>
      </c>
      <c r="I19" s="927" t="str">
        <f>IF(H19="季度增幅（自定义）",SUMIF(N21:N24,E2,O21:O24),"")</f>
        <v/>
      </c>
      <c r="J19" s="2794"/>
      <c r="K19" s="1377"/>
      <c r="L19" s="2798" t="s">
        <v>2888</v>
      </c>
      <c r="M19" s="1734">
        <f>ROUND(SUMIF(地价!B2:F2,E2,地价!B25:F25),0)</f>
        <v>0</v>
      </c>
      <c r="N19" s="2799" t="s">
        <v>2889</v>
      </c>
      <c r="O19" s="928">
        <f>ROUNDDOWN(DATEDIF(E19,G19,"M")/3,0)</f>
        <v>20</v>
      </c>
      <c r="P19" s="1374"/>
      <c r="Q19" s="1376"/>
      <c r="R19" s="1376"/>
      <c r="S19" s="1376"/>
      <c r="T19" s="1371"/>
      <c r="U19" s="1371"/>
      <c r="V19" s="1371"/>
      <c r="W19" s="1370"/>
      <c r="X19" s="1370"/>
      <c r="Y19" s="1370"/>
      <c r="Z19" s="1377"/>
      <c r="AA19" s="1378"/>
      <c r="AB19" s="1378"/>
      <c r="AC19" s="1378"/>
      <c r="AD19" s="1378"/>
      <c r="AE19" s="1378"/>
      <c r="AF19" s="2800"/>
      <c r="AG19" s="2801"/>
      <c r="AH19" s="2795"/>
      <c r="AI19" s="2802"/>
      <c r="AJ19" s="2802"/>
      <c r="AK19" s="2802"/>
    </row>
    <row r="20" spans="1:37" s="2737" customFormat="1" ht="27.75" thickBot="1">
      <c r="A20" s="2803" t="s">
        <v>810</v>
      </c>
      <c r="B20" s="2804" t="s">
        <v>2890</v>
      </c>
      <c r="C20" s="929" t="e">
        <f>ROUND(POWER(1+G20,J20-I20)*(POWER(1+G20,I20)-1)/(POWER(1+G20,J20)-1),4)</f>
        <v>#DIV/0!</v>
      </c>
      <c r="D20" s="2805" t="s">
        <v>2891</v>
      </c>
      <c r="E20" s="1768">
        <f ca="1">存贷款利率!D4/100</f>
        <v>4.3499999999999997E-2</v>
      </c>
      <c r="F20" s="2805" t="s">
        <v>2882</v>
      </c>
      <c r="G20" s="934">
        <f>SUMIF(M15:P15,E2,M17:P17)</f>
        <v>0</v>
      </c>
      <c r="H20" s="2805" t="s">
        <v>2892</v>
      </c>
      <c r="I20" s="935" t="e">
        <f>SUMIF('数据-取费表'!C6:C15,E2,'数据-取费表'!F6:F15)/COUNTIF('数据-取费表'!C6:C15,E2)</f>
        <v>#DIV/0!</v>
      </c>
      <c r="J20" s="936">
        <f>IF(E2="住宅",70,IF(E2="商业",40,50))</f>
        <v>50</v>
      </c>
      <c r="K20" s="1377"/>
      <c r="L20" s="2806" t="s">
        <v>2893</v>
      </c>
      <c r="M20" s="1735">
        <f>ROUND(SUMPRODUCT((地价!A4:A25=YEAR(G19)&amp;"-"&amp;ROUNDUP(MONTH(G19)/3,0))*(地价!B2:F2=E2)*(地价!B4:F25)),0)</f>
        <v>0</v>
      </c>
      <c r="N20" s="2807" t="s">
        <v>2894</v>
      </c>
      <c r="O20" s="2808" t="s">
        <v>2895</v>
      </c>
      <c r="P20" s="2809" t="s">
        <v>2896</v>
      </c>
      <c r="R20" s="1376"/>
      <c r="S20" s="1376"/>
      <c r="T20" s="1371"/>
      <c r="U20" s="1371"/>
      <c r="V20" s="1371"/>
      <c r="W20" s="1370"/>
      <c r="X20" s="1370"/>
      <c r="Y20" s="1370"/>
      <c r="Z20" s="1377"/>
      <c r="AA20" s="1378"/>
      <c r="AB20" s="1378"/>
      <c r="AC20" s="1378"/>
      <c r="AD20" s="1378"/>
      <c r="AE20" s="1378"/>
      <c r="AF20" s="1378"/>
    </row>
    <row r="21" spans="1:37" s="2737" customFormat="1" ht="15">
      <c r="A21" s="2810" t="s">
        <v>811</v>
      </c>
      <c r="B21" s="2811" t="s">
        <v>2897</v>
      </c>
      <c r="C21" s="937">
        <f>IF(B21="容积率修正",IF(G3&lt;=10,D22,J22),C23)</f>
        <v>0</v>
      </c>
      <c r="D21" s="2812"/>
      <c r="E21" s="2812"/>
      <c r="F21" s="2812"/>
      <c r="G21" s="2812"/>
      <c r="H21" s="2812"/>
      <c r="I21" s="2812"/>
      <c r="J21" s="2813"/>
      <c r="K21" s="1377"/>
      <c r="N21" s="2814" t="s">
        <v>2898</v>
      </c>
      <c r="O21" s="1561"/>
      <c r="P21" s="1562">
        <f>SUMPRODUCT((地价!A3:A25=YEAR(G19)&amp;"-"&amp;ROUNDUP(MONTH(G19)/3,0))*(地价!AD2:AH2=N21)*(地价!AD3:AH25))</f>
        <v>1.5100000000000001E-2</v>
      </c>
      <c r="R21" s="1376"/>
      <c r="S21" s="1376"/>
      <c r="T21" s="1371"/>
      <c r="U21" s="1371"/>
      <c r="V21" s="1371"/>
      <c r="W21" s="1370"/>
      <c r="X21" s="1370"/>
      <c r="Y21" s="1370"/>
      <c r="Z21" s="1377"/>
      <c r="AA21" s="1378"/>
      <c r="AB21" s="1378"/>
      <c r="AC21" s="1378"/>
      <c r="AD21" s="1378"/>
      <c r="AE21" s="1378"/>
      <c r="AF21" s="1378"/>
    </row>
    <row r="22" spans="1:37" s="2737" customFormat="1" ht="14.25">
      <c r="A22" s="2663" t="s">
        <v>2899</v>
      </c>
      <c r="B22" s="2815" t="s">
        <v>2900</v>
      </c>
      <c r="C22" s="1810" t="s">
        <v>2901</v>
      </c>
      <c r="D22" s="1810">
        <f>IF(E22=G22,F22,IF(G3&lt;=10,ROUND(F22+(H22-F22)*(G3-E22)/(G22-E22),4),"——"))</f>
        <v>0</v>
      </c>
      <c r="E22" s="913">
        <f>ROUNDDOWN(G3,1)</f>
        <v>2</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3">
        <f>ROUNDUP(G3,1)</f>
        <v>2.1</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8" t="str">
        <f>IF(G3&gt;10,D113,"——")</f>
        <v>——</v>
      </c>
      <c r="K22" s="1377"/>
      <c r="N22" s="2814" t="s">
        <v>2902</v>
      </c>
      <c r="O22" s="1561"/>
      <c r="P22" s="1562">
        <f>SUMPRODUCT((地价!A3:A25=YEAR(G19)&amp;"-"&amp;ROUNDUP(MONTH(G19)/3,0))*(地价!AD2:AH2=N22)*(地价!AD3:AH25))</f>
        <v>1.5100000000000001E-2</v>
      </c>
      <c r="R22" s="1376"/>
      <c r="S22" s="1376"/>
      <c r="T22" s="1371"/>
      <c r="U22" s="1371"/>
      <c r="V22" s="1371"/>
      <c r="W22" s="1370"/>
      <c r="X22" s="1370"/>
      <c r="Y22" s="1370"/>
      <c r="Z22" s="1377"/>
      <c r="AA22" s="1378"/>
      <c r="AB22" s="1378"/>
      <c r="AC22" s="1378"/>
      <c r="AD22" s="1378"/>
      <c r="AE22" s="1378"/>
      <c r="AF22" s="1378"/>
    </row>
    <row r="23" spans="1:37" ht="27.75" thickBot="1">
      <c r="A23" s="2663" t="s">
        <v>2903</v>
      </c>
      <c r="B23" s="2816" t="s">
        <v>2904</v>
      </c>
      <c r="C23" s="1013">
        <f>ROUND(IF(G3&gt;1,IF(I3&lt;7,SUMPRODUCT((B93:B98=I3)*(C92:N92=G2)*(C93:N98)),SUMIF(C92:N92,G2,C100:N100)),IF(I3&lt;7,SUMPRODUCT((B102:B107=I3)*(C92:N92=G2)*(C102:N107)),SUMIF(C92:N92,G2,C109:N109))),4)</f>
        <v>0</v>
      </c>
      <c r="D23" s="2772"/>
      <c r="E23" s="2772"/>
      <c r="F23" s="2817"/>
      <c r="G23" s="2818"/>
      <c r="H23" s="2819"/>
      <c r="I23" s="2820"/>
      <c r="J23" s="2821"/>
      <c r="K23" s="1370"/>
      <c r="N23" s="2814" t="s">
        <v>2905</v>
      </c>
      <c r="O23" s="1561"/>
      <c r="P23" s="1562">
        <f>SUMPRODUCT((地价!A3:A25=YEAR(G19)&amp;"-"&amp;ROUNDUP(MONTH(G19)/3,0))*(地价!AD2:AH2=N23)*(地价!AD3:AH25))</f>
        <v>2.3400000000000001E-2</v>
      </c>
      <c r="R23" s="1376"/>
      <c r="S23" s="1376"/>
      <c r="T23" s="1371"/>
      <c r="U23" s="1371"/>
      <c r="V23" s="1371"/>
      <c r="W23" s="1370"/>
      <c r="X23" s="1370"/>
      <c r="Y23" s="1370"/>
      <c r="Z23" s="1377"/>
      <c r="AA23" s="1378"/>
      <c r="AB23" s="1378"/>
      <c r="AC23" s="1378"/>
      <c r="AD23" s="1378"/>
      <c r="AK23" s="2795"/>
    </row>
    <row r="24" spans="1:37" s="2737" customFormat="1" ht="15.75" thickBot="1">
      <c r="A24" s="2803" t="s">
        <v>812</v>
      </c>
      <c r="B24" s="2789" t="s">
        <v>2906</v>
      </c>
      <c r="C24" s="924">
        <f>SUMIF(A45:A88,E2,B45:B88)</f>
        <v>0</v>
      </c>
      <c r="D24" s="2792"/>
      <c r="E24" s="2822"/>
      <c r="F24" s="2822"/>
      <c r="G24" s="2822"/>
      <c r="H24" s="2822"/>
      <c r="I24" s="2822"/>
      <c r="J24" s="2823"/>
      <c r="K24" s="1377"/>
      <c r="N24" s="2824" t="s">
        <v>2907</v>
      </c>
      <c r="O24" s="1563"/>
      <c r="P24" s="1564">
        <f>SUMPRODUCT((地价!A3:A25=YEAR(G19)&amp;"-"&amp;ROUNDUP(MONTH(G19)/3,0))*(地价!AD2:AH2=N24)*(地价!AD3:AH25))</f>
        <v>1.4200000000000001E-2</v>
      </c>
      <c r="R24" s="1376"/>
      <c r="S24" s="1376"/>
      <c r="T24" s="1371"/>
      <c r="U24" s="1371"/>
      <c r="V24" s="1371"/>
      <c r="W24" s="1370"/>
      <c r="X24" s="1370"/>
      <c r="Y24" s="1370"/>
      <c r="Z24" s="1377"/>
      <c r="AA24" s="1378"/>
      <c r="AB24" s="1378"/>
      <c r="AC24" s="1378"/>
      <c r="AD24" s="1378"/>
      <c r="AE24" s="1378"/>
      <c r="AF24" s="1378"/>
    </row>
    <row r="25" spans="1:37" ht="15.75" thickBot="1">
      <c r="A25" s="2803" t="s">
        <v>813</v>
      </c>
      <c r="B25" s="2825" t="s">
        <v>2908</v>
      </c>
      <c r="C25" s="930"/>
      <c r="D25" s="2747"/>
      <c r="E25" s="2747"/>
      <c r="F25" s="2826"/>
      <c r="G25" s="2747"/>
      <c r="H25" s="2747"/>
      <c r="I25" s="2747"/>
      <c r="J25" s="2748"/>
      <c r="K25" s="1370"/>
      <c r="N25" s="2827" t="s">
        <v>2909</v>
      </c>
      <c r="O25" s="1565"/>
      <c r="P25" s="1564">
        <f>SUMPRODUCT((地价!A3:A25=YEAR(G19)&amp;"-"&amp;ROUNDUP(MONTH(G19)/3,0))*(地价!AD2:AH2=N25)*(地价!AD3:AH25))</f>
        <v>2.1299999999999999E-2</v>
      </c>
      <c r="R25" s="1376"/>
      <c r="S25" s="1376"/>
      <c r="T25" s="1371"/>
      <c r="U25" s="1371"/>
      <c r="V25" s="1371"/>
      <c r="W25" s="1370"/>
      <c r="X25" s="1370"/>
      <c r="Y25" s="1370"/>
      <c r="Z25" s="1377"/>
      <c r="AA25" s="1378"/>
      <c r="AB25" s="1378"/>
      <c r="AC25" s="1378"/>
      <c r="AD25" s="1378"/>
    </row>
    <row r="26" spans="1:37" ht="15">
      <c r="A26" s="2828"/>
      <c r="B26" s="2815" t="s">
        <v>2910</v>
      </c>
      <c r="C26" s="206" t="e">
        <f>E29+SUM(E33:E39)</f>
        <v>#DIV/0!</v>
      </c>
      <c r="D26" s="2829"/>
      <c r="E26" s="2772"/>
      <c r="F26" s="2830"/>
      <c r="G26" s="2772"/>
      <c r="H26" s="2772"/>
      <c r="I26" s="2772"/>
      <c r="J26" s="2831"/>
      <c r="K26" s="1370"/>
      <c r="R26" s="1376"/>
      <c r="S26" s="1376"/>
      <c r="T26" s="1371"/>
      <c r="U26" s="1371"/>
      <c r="V26" s="1371"/>
      <c r="W26" s="1370"/>
      <c r="X26" s="1370"/>
      <c r="Y26" s="1370"/>
      <c r="Z26" s="1377"/>
      <c r="AA26" s="1378"/>
      <c r="AB26" s="1378"/>
      <c r="AC26" s="1378"/>
      <c r="AD26" s="1378"/>
    </row>
    <row r="27" spans="1:37" ht="15.75" thickBot="1">
      <c r="A27" s="2828"/>
      <c r="B27" s="2832" t="s">
        <v>2911</v>
      </c>
      <c r="C27" s="931" t="e">
        <f>E30+SUM(I33:I39)</f>
        <v>#DIV/0!</v>
      </c>
      <c r="D27" s="2833"/>
      <c r="E27" s="2834"/>
      <c r="F27" s="2835"/>
      <c r="G27" s="2834"/>
      <c r="H27" s="2834"/>
      <c r="I27" s="2834"/>
      <c r="J27" s="2836"/>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7"/>
      <c r="B28" s="2838" t="s">
        <v>2912</v>
      </c>
      <c r="C28" s="2839" t="s">
        <v>2913</v>
      </c>
      <c r="D28" s="2839" t="s">
        <v>2914</v>
      </c>
      <c r="E28" s="2840" t="s">
        <v>2915</v>
      </c>
      <c r="F28" s="2841"/>
      <c r="G28" s="2760"/>
      <c r="H28" s="2760"/>
      <c r="I28" s="2760"/>
      <c r="J28" s="2761"/>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2"/>
      <c r="B29" s="2843" t="s">
        <v>2916</v>
      </c>
      <c r="C29" s="206" t="e">
        <f>ROUND(C5*C18*C19*C20*C21*C24,0)</f>
        <v>#DIV/0!</v>
      </c>
      <c r="D29" s="2844"/>
      <c r="E29" s="942" t="e">
        <f>ROUND(C29*D29/10000,0)</f>
        <v>#DIV/0!</v>
      </c>
      <c r="F29" s="2845" t="s">
        <v>2917</v>
      </c>
      <c r="G29" s="2846"/>
      <c r="H29" s="2846"/>
      <c r="I29" s="2846"/>
      <c r="J29" s="2847"/>
      <c r="K29" s="1370"/>
      <c r="L29" s="1370"/>
      <c r="M29" s="1370"/>
      <c r="N29" s="1370"/>
      <c r="O29" s="1375"/>
      <c r="P29" s="1375"/>
      <c r="Q29" s="1376"/>
      <c r="R29" s="1376"/>
      <c r="S29" s="1376"/>
      <c r="T29" s="1371"/>
      <c r="U29" s="1371"/>
      <c r="V29" s="1371"/>
      <c r="W29" s="1370"/>
      <c r="X29" s="1370"/>
      <c r="Y29" s="1370"/>
      <c r="Z29" s="1377"/>
      <c r="AA29" s="1378"/>
      <c r="AB29" s="1378"/>
      <c r="AC29" s="1378"/>
      <c r="AD29" s="1378"/>
      <c r="AE29" s="2787"/>
      <c r="AF29" s="2787"/>
      <c r="AG29" s="2719"/>
      <c r="AH29" s="2719"/>
      <c r="AI29" s="2719"/>
      <c r="AJ29" s="2719"/>
    </row>
    <row r="30" spans="1:37" ht="25.5" thickBot="1">
      <c r="A30" s="2848"/>
      <c r="B30" s="2849" t="s">
        <v>2918</v>
      </c>
      <c r="C30" s="229" t="e">
        <f>ROUND(IF(E2="工业",C29*M39,C29*M38),0)</f>
        <v>#DIV/0!</v>
      </c>
      <c r="D30" s="2850"/>
      <c r="E30" s="942" t="e">
        <f>ROUND(C30*D30/10000,0)</f>
        <v>#DIV/0!</v>
      </c>
      <c r="F30" s="2851" t="s">
        <v>2919</v>
      </c>
      <c r="G30" s="2852"/>
      <c r="H30" s="2852"/>
      <c r="I30" s="2852"/>
      <c r="J30" s="2853"/>
      <c r="K30" s="1370"/>
      <c r="L30" s="1370"/>
      <c r="M30" s="1370"/>
      <c r="N30" s="1370"/>
      <c r="O30" s="1375"/>
      <c r="P30" s="1375"/>
      <c r="Q30" s="1376"/>
      <c r="R30" s="1376"/>
      <c r="S30" s="1376"/>
      <c r="T30" s="1371"/>
      <c r="U30" s="1371"/>
      <c r="V30" s="1371"/>
      <c r="W30" s="1370"/>
      <c r="X30" s="1370"/>
      <c r="Y30" s="1370"/>
      <c r="Z30" s="1377"/>
      <c r="AA30" s="1378"/>
      <c r="AB30" s="1378"/>
      <c r="AC30" s="1378"/>
      <c r="AD30" s="1378"/>
      <c r="AE30" s="2787"/>
      <c r="AF30" s="2787"/>
      <c r="AG30" s="2719"/>
      <c r="AH30" s="2719"/>
      <c r="AI30" s="2719"/>
      <c r="AJ30" s="2719"/>
    </row>
    <row r="31" spans="1:37" ht="14.25">
      <c r="A31" s="2854"/>
      <c r="B31" s="2855" t="s">
        <v>2920</v>
      </c>
      <c r="C31" s="2856" t="s">
        <v>2921</v>
      </c>
      <c r="D31" s="2760"/>
      <c r="E31" s="2856"/>
      <c r="F31" s="2856"/>
      <c r="G31" s="2758" t="s">
        <v>2922</v>
      </c>
      <c r="H31" s="2760"/>
      <c r="I31" s="2857"/>
      <c r="J31" s="2761"/>
      <c r="K31" s="1370"/>
      <c r="L31" s="1370"/>
      <c r="M31" s="1370"/>
      <c r="N31" s="1370"/>
      <c r="O31" s="1375"/>
      <c r="P31" s="1375"/>
      <c r="Q31" s="1376"/>
      <c r="R31" s="1376"/>
      <c r="S31" s="1376"/>
      <c r="T31" s="1371"/>
      <c r="U31" s="1371"/>
      <c r="V31" s="1371"/>
      <c r="W31" s="1370"/>
      <c r="X31" s="1370"/>
      <c r="Y31" s="1370"/>
      <c r="Z31" s="1377"/>
      <c r="AA31" s="1378"/>
      <c r="AB31" s="1378"/>
      <c r="AC31" s="1378"/>
      <c r="AD31" s="1378"/>
      <c r="AE31" s="2787"/>
      <c r="AF31" s="2787"/>
      <c r="AG31" s="2719"/>
      <c r="AH31" s="2719"/>
      <c r="AI31" s="2719"/>
      <c r="AJ31" s="2719"/>
    </row>
    <row r="32" spans="1:37" ht="24">
      <c r="A32" s="2842"/>
      <c r="B32" s="2858"/>
      <c r="C32" s="501" t="s">
        <v>2913</v>
      </c>
      <c r="D32" s="498" t="s">
        <v>2914</v>
      </c>
      <c r="E32" s="498" t="s">
        <v>2915</v>
      </c>
      <c r="F32" s="388" t="s">
        <v>2923</v>
      </c>
      <c r="G32" s="2859" t="s">
        <v>2913</v>
      </c>
      <c r="H32" s="2859" t="s">
        <v>2914</v>
      </c>
      <c r="I32" s="2859" t="s">
        <v>2915</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7"/>
      <c r="AF32" s="2787"/>
      <c r="AG32" s="2719"/>
      <c r="AH32" s="2719"/>
      <c r="AI32" s="2719"/>
      <c r="AJ32" s="2719"/>
    </row>
    <row r="33" spans="1:37" ht="36" customHeight="1">
      <c r="A33" s="3455" t="s">
        <v>2924</v>
      </c>
      <c r="B33" s="2860" t="s">
        <v>2925</v>
      </c>
      <c r="C33" s="206" t="e">
        <f>ROUND(D5*C19*C20*C24*F33,0)</f>
        <v>#DIV/0!</v>
      </c>
      <c r="D33" s="2844"/>
      <c r="E33" s="200" t="e">
        <f>ROUND(C33*D33/10000,0)</f>
        <v>#DIV/0!</v>
      </c>
      <c r="F33" s="200">
        <f>SUMIF(修正!A45:A56,G2,修正!B45:B56)</f>
        <v>0</v>
      </c>
      <c r="G33" s="200" t="e">
        <f t="shared" ref="G33" si="6">ROUND(IF(E2="工业",C33*$M$39,C33*$M$38),0)</f>
        <v>#DIV/0!</v>
      </c>
      <c r="H33" s="200">
        <f>D33</f>
        <v>0</v>
      </c>
      <c r="I33" s="200" t="e">
        <f>ROUND(G33*H33/10000,0)</f>
        <v>#DIV/0!</v>
      </c>
      <c r="J33" s="2861"/>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456"/>
      <c r="B34" s="2764" t="s">
        <v>2926</v>
      </c>
      <c r="C34" s="206" t="e">
        <f>ROUND(D5*C19*C20*C24*F34,0)</f>
        <v>#DIV/0!</v>
      </c>
      <c r="D34" s="2844"/>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1"/>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456"/>
      <c r="B35" s="2764" t="s">
        <v>2927</v>
      </c>
      <c r="C35" s="206" t="e">
        <f>ROUND(D5*C19*C20*C24*F35,0)</f>
        <v>#DIV/0!</v>
      </c>
      <c r="D35" s="2844"/>
      <c r="E35" s="200" t="e">
        <f t="shared" si="7"/>
        <v>#DIV/0!</v>
      </c>
      <c r="F35" s="200">
        <f>SUMIF(修正!A45:A56,G2,修正!D45:D56)</f>
        <v>0</v>
      </c>
      <c r="G35" s="200" t="e">
        <f>ROUND(IF(E2="工业",C35*$M$39,C35*$M$38),0)</f>
        <v>#DIV/0!</v>
      </c>
      <c r="H35" s="200">
        <f t="shared" si="8"/>
        <v>0</v>
      </c>
      <c r="I35" s="200" t="e">
        <f t="shared" si="9"/>
        <v>#DIV/0!</v>
      </c>
      <c r="J35" s="2861"/>
      <c r="K35" s="1370"/>
      <c r="L35" s="1370"/>
      <c r="M35" s="1370"/>
      <c r="N35" s="1370"/>
      <c r="O35" s="1370"/>
      <c r="P35" s="1370"/>
      <c r="Q35" s="1370"/>
      <c r="R35" s="1370"/>
      <c r="S35" s="1370"/>
      <c r="T35" s="1370"/>
      <c r="U35" s="1370"/>
      <c r="V35" s="1370"/>
      <c r="W35" s="1370"/>
      <c r="X35" s="1370"/>
      <c r="Y35" s="1370"/>
      <c r="Z35" s="1371"/>
    </row>
    <row r="36" spans="1:37" ht="13.5" thickBot="1">
      <c r="A36" s="3457"/>
      <c r="B36" s="2764" t="s">
        <v>2928</v>
      </c>
      <c r="C36" s="206" t="e">
        <f>ROUND(D5*C19*C20*C24*F36,0)</f>
        <v>#DIV/0!</v>
      </c>
      <c r="D36" s="2844"/>
      <c r="E36" s="200" t="e">
        <f t="shared" si="7"/>
        <v>#DIV/0!</v>
      </c>
      <c r="F36" s="200">
        <f>SUMIF(修正!A45:A56,G2,修正!E45:E56)</f>
        <v>0</v>
      </c>
      <c r="G36" s="200" t="e">
        <f>ROUND(IF(E2="工业",C36*$M$39,C36*$M$38),0)</f>
        <v>#DIV/0!</v>
      </c>
      <c r="H36" s="200">
        <f t="shared" si="8"/>
        <v>0</v>
      </c>
      <c r="I36" s="200" t="e">
        <f t="shared" si="9"/>
        <v>#DIV/0!</v>
      </c>
      <c r="J36" s="2861"/>
      <c r="K36" s="1370"/>
      <c r="L36" s="2718"/>
      <c r="M36" s="2718"/>
      <c r="N36" s="1370"/>
      <c r="O36" s="1370"/>
      <c r="P36" s="1370"/>
      <c r="Q36" s="1370"/>
      <c r="R36" s="1370"/>
      <c r="S36" s="1370"/>
      <c r="T36" s="1370"/>
      <c r="U36" s="1370"/>
      <c r="V36" s="1370"/>
      <c r="W36" s="1370"/>
      <c r="X36" s="1370"/>
      <c r="Y36" s="1370"/>
      <c r="Z36" s="1371"/>
    </row>
    <row r="37" spans="1:37">
      <c r="A37" s="2862"/>
      <c r="B37" s="2764" t="s">
        <v>2929</v>
      </c>
      <c r="C37" s="200" t="e">
        <f>ROUND(D5*C19*C20*C24*F37,0)</f>
        <v>#DIV/0!</v>
      </c>
      <c r="D37" s="2844"/>
      <c r="E37" s="200" t="e">
        <f t="shared" si="7"/>
        <v>#DIV/0!</v>
      </c>
      <c r="F37" s="206">
        <f>SUMIF(修正!A45:A56,G2,修正!F45:F56)</f>
        <v>0</v>
      </c>
      <c r="G37" s="200" t="e">
        <f>ROUND(IF(E2="工业",C37*$M$39,C37*$M$38),0)</f>
        <v>#DIV/0!</v>
      </c>
      <c r="H37" s="200">
        <f t="shared" si="8"/>
        <v>0</v>
      </c>
      <c r="I37" s="200" t="e">
        <f t="shared" si="9"/>
        <v>#DIV/0!</v>
      </c>
      <c r="J37" s="2861"/>
      <c r="K37" s="1370"/>
      <c r="L37" s="2863" t="s">
        <v>2930</v>
      </c>
      <c r="M37" s="2864"/>
      <c r="N37" s="1370"/>
      <c r="O37" s="1370"/>
      <c r="P37" s="1370"/>
      <c r="Q37" s="1370"/>
      <c r="R37" s="1370"/>
      <c r="S37" s="1370"/>
      <c r="T37" s="1370"/>
      <c r="U37" s="1370"/>
      <c r="V37" s="1370"/>
      <c r="W37" s="1370"/>
      <c r="X37" s="1370"/>
      <c r="Y37" s="1370"/>
      <c r="Z37" s="1371"/>
    </row>
    <row r="38" spans="1:37">
      <c r="A38" s="2862"/>
      <c r="B38" s="2764" t="s">
        <v>2931</v>
      </c>
      <c r="C38" s="200" t="e">
        <f>ROUND(D5*C19*C41*C24*F38,0)</f>
        <v>#DIV/0!</v>
      </c>
      <c r="D38" s="2844"/>
      <c r="E38" s="200" t="e">
        <f t="shared" si="7"/>
        <v>#DIV/0!</v>
      </c>
      <c r="F38" s="206">
        <f>SUMIF(修正!A45:A56,G2,修正!G45:G56)</f>
        <v>0</v>
      </c>
      <c r="G38" s="200" t="e">
        <f>ROUND(IF(E2="工业",C38*$M$39,C38*$M$38),0)</f>
        <v>#DIV/0!</v>
      </c>
      <c r="H38" s="200">
        <f t="shared" si="8"/>
        <v>0</v>
      </c>
      <c r="I38" s="200" t="e">
        <f t="shared" si="9"/>
        <v>#DIV/0!</v>
      </c>
      <c r="J38" s="2861"/>
      <c r="K38" s="1370"/>
      <c r="L38" s="1887" t="s">
        <v>2932</v>
      </c>
      <c r="M38" s="2865">
        <v>0.25</v>
      </c>
      <c r="N38" s="1370"/>
      <c r="O38" s="1370"/>
      <c r="P38" s="1370"/>
      <c r="Q38" s="1370"/>
      <c r="R38" s="1370"/>
      <c r="S38" s="1370"/>
      <c r="T38" s="1370"/>
      <c r="U38" s="1370"/>
      <c r="V38" s="1370"/>
      <c r="W38" s="1370"/>
      <c r="X38" s="1370"/>
      <c r="Y38" s="1370"/>
      <c r="Z38" s="1371"/>
    </row>
    <row r="39" spans="1:37" ht="13.5" thickBot="1">
      <c r="A39" s="2848"/>
      <c r="B39" s="2866" t="s">
        <v>2933</v>
      </c>
      <c r="C39" s="229" t="e">
        <f>ROUND(D5*C19*C41*C24*F39,0)</f>
        <v>#DIV/0!</v>
      </c>
      <c r="D39" s="2850"/>
      <c r="E39" s="229" t="e">
        <f t="shared" si="7"/>
        <v>#DIV/0!</v>
      </c>
      <c r="F39" s="932">
        <f>SUMIF(修正!A45:A56,G2,修正!H45:H56)</f>
        <v>0</v>
      </c>
      <c r="G39" s="229" t="e">
        <f>ROUND(IF(E2="工业",C39*$M$39,C39*$M$38),0)</f>
        <v>#DIV/0!</v>
      </c>
      <c r="H39" s="229">
        <f t="shared" si="8"/>
        <v>0</v>
      </c>
      <c r="I39" s="229" t="e">
        <f t="shared" si="9"/>
        <v>#DIV/0!</v>
      </c>
      <c r="J39" s="2867"/>
      <c r="K39" s="1370"/>
      <c r="L39" s="2868" t="s">
        <v>2874</v>
      </c>
      <c r="M39" s="2869">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7" t="s">
        <v>3044</v>
      </c>
      <c r="C41" s="388" t="e">
        <f>ROUND(POWER(1+E41,H41-G41)*(POWER(1+E41,G41)-1)/(POWER(1+E41,H41)-1),4)</f>
        <v>#DIV/0!</v>
      </c>
      <c r="D41" s="200" t="s">
        <v>2882</v>
      </c>
      <c r="E41" s="2936">
        <f>G20</f>
        <v>0</v>
      </c>
      <c r="F41" s="200" t="s">
        <v>2892</v>
      </c>
      <c r="G41" s="218"/>
      <c r="H41" s="200">
        <v>50</v>
      </c>
      <c r="Z41" s="1371"/>
      <c r="AA41" s="1371"/>
      <c r="AB41" s="1371"/>
      <c r="AC41" s="1371"/>
      <c r="AD41" s="1371"/>
      <c r="AE41" s="1371"/>
      <c r="AF41" s="1371"/>
      <c r="AG41" s="1371"/>
      <c r="AH41" s="1371"/>
      <c r="AI41" s="1371"/>
      <c r="AJ41" s="1371"/>
    </row>
    <row r="42" spans="1:37" s="1370" customFormat="1">
      <c r="A42" s="1371"/>
      <c r="B42" s="2870"/>
      <c r="Z42" s="1371"/>
      <c r="AA42" s="1371"/>
      <c r="AB42" s="1371"/>
      <c r="AC42" s="1371"/>
      <c r="AD42" s="1371"/>
      <c r="AE42" s="1371"/>
      <c r="AF42" s="1371"/>
      <c r="AG42" s="1371"/>
      <c r="AH42" s="1371"/>
      <c r="AI42" s="1371"/>
      <c r="AJ42" s="1371"/>
    </row>
    <row r="43" spans="1:37" s="1370" customFormat="1">
      <c r="A43" s="1371"/>
      <c r="B43" s="2870"/>
      <c r="Z43" s="1371"/>
      <c r="AA43" s="1371"/>
      <c r="AB43" s="1371"/>
      <c r="AC43" s="1371"/>
      <c r="AD43" s="1371"/>
      <c r="AE43" s="1371"/>
      <c r="AF43" s="1371"/>
      <c r="AG43" s="1371"/>
      <c r="AH43" s="1371"/>
      <c r="AI43" s="1371"/>
      <c r="AJ43" s="1371"/>
    </row>
    <row r="44" spans="1:37" s="1370" customFormat="1">
      <c r="A44" s="1371"/>
      <c r="B44" s="2870"/>
      <c r="Z44" s="1371"/>
      <c r="AA44" s="1371"/>
      <c r="AB44" s="1371"/>
      <c r="AC44" s="1371"/>
      <c r="AD44" s="1371"/>
      <c r="AE44" s="1371"/>
      <c r="AF44" s="1371"/>
      <c r="AG44" s="1371"/>
      <c r="AH44" s="1371"/>
      <c r="AI44" s="1371"/>
      <c r="AJ44" s="1371"/>
    </row>
    <row r="45" spans="1:37" s="1370" customFormat="1" ht="15.75" thickBot="1">
      <c r="A45" s="2871" t="s">
        <v>2934</v>
      </c>
      <c r="B45" s="2872"/>
      <c r="C45" s="7"/>
      <c r="D45" s="7"/>
      <c r="E45" s="7"/>
      <c r="F45" s="6"/>
      <c r="G45" s="6"/>
      <c r="H45" s="6"/>
      <c r="I45" s="7"/>
      <c r="J45" s="7"/>
      <c r="K45" s="7"/>
      <c r="L45" s="7"/>
      <c r="M45" s="7"/>
      <c r="N45" s="2787"/>
      <c r="Z45" s="1371"/>
      <c r="AA45" s="1371"/>
      <c r="AB45" s="1371"/>
      <c r="AC45" s="1371"/>
      <c r="AD45" s="1371"/>
      <c r="AE45" s="1371"/>
      <c r="AF45" s="1371"/>
      <c r="AG45" s="1371"/>
      <c r="AH45" s="1371"/>
      <c r="AI45" s="1371"/>
      <c r="AJ45" s="1371"/>
    </row>
    <row r="46" spans="1:37" s="1370" customFormat="1" ht="15">
      <c r="A46" s="2873" t="s">
        <v>2935</v>
      </c>
      <c r="B46" s="2874">
        <f>1+E48</f>
        <v>1</v>
      </c>
      <c r="C46" s="2875"/>
      <c r="D46" s="811"/>
      <c r="E46" s="812"/>
      <c r="F46" s="2876"/>
      <c r="G46" s="6"/>
      <c r="H46" s="7"/>
      <c r="I46" s="7"/>
      <c r="J46" s="7"/>
      <c r="K46" s="7"/>
      <c r="L46" s="7"/>
      <c r="M46" s="7"/>
      <c r="N46" s="2787"/>
      <c r="Z46" s="1371"/>
      <c r="AA46" s="1371"/>
      <c r="AB46" s="1371"/>
      <c r="AC46" s="1371"/>
      <c r="AD46" s="1371"/>
      <c r="AE46" s="1371"/>
      <c r="AF46" s="1371"/>
      <c r="AG46" s="1371"/>
      <c r="AH46" s="1371"/>
      <c r="AI46" s="1371"/>
      <c r="AJ46" s="1371"/>
    </row>
    <row r="47" spans="1:37" s="1370" customFormat="1" ht="24.75">
      <c r="A47" s="2877" t="s">
        <v>2936</v>
      </c>
      <c r="B47" s="1809" t="s">
        <v>2937</v>
      </c>
      <c r="C47" s="1809" t="s">
        <v>2938</v>
      </c>
      <c r="D47" s="1809" t="s">
        <v>2939</v>
      </c>
      <c r="E47" s="816" t="s">
        <v>2940</v>
      </c>
      <c r="F47" s="2878" t="s">
        <v>2941</v>
      </c>
      <c r="G47" s="1809" t="s">
        <v>754</v>
      </c>
      <c r="H47" s="2879" t="s">
        <v>2942</v>
      </c>
      <c r="I47" s="1809" t="s">
        <v>2943</v>
      </c>
      <c r="J47" s="603" t="s">
        <v>2590</v>
      </c>
      <c r="K47" s="603" t="s">
        <v>2591</v>
      </c>
      <c r="L47" s="603" t="s">
        <v>2592</v>
      </c>
      <c r="M47" s="603" t="s">
        <v>2593</v>
      </c>
      <c r="N47" s="603" t="s">
        <v>2594</v>
      </c>
      <c r="AA47" s="1371"/>
      <c r="AB47" s="1371"/>
      <c r="AC47" s="1371"/>
      <c r="AD47" s="1371"/>
      <c r="AE47" s="1371"/>
      <c r="AF47" s="1371"/>
      <c r="AG47" s="1371"/>
      <c r="AH47" s="1371"/>
      <c r="AI47" s="1371"/>
      <c r="AJ47" s="1371"/>
      <c r="AK47" s="1371"/>
    </row>
    <row r="48" spans="1:37" s="1370" customFormat="1" ht="38.25">
      <c r="A48" s="2877" t="s">
        <v>2944</v>
      </c>
      <c r="B48" s="2880" t="str">
        <f>估价对象房地状况!C4</f>
        <v>估价对象位于XX商圈，周边商业氛围成熟，人流量大，商业繁华度好</v>
      </c>
      <c r="C48" s="2769"/>
      <c r="D48" s="1286">
        <f t="shared" ref="D48:D56" si="10">SUMIF($J$47:$N$47,C48,J48:N48)</f>
        <v>0</v>
      </c>
      <c r="E48" s="818">
        <f>ROUND(SUM(D48:D56),4)</f>
        <v>0</v>
      </c>
      <c r="F48" s="2500" t="str">
        <f>IF(E2="商业",SUMIF(L1:L12,G2,N1:N12),"——")</f>
        <v>——</v>
      </c>
      <c r="G48" s="1284"/>
      <c r="H48" s="1288" t="str">
        <f t="shared" ref="H48:H56" si="11">IFERROR(ROUNDDOWN($F$48*I48/2,4),"——")</f>
        <v>——</v>
      </c>
      <c r="I48" s="817">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7" t="s">
        <v>2945</v>
      </c>
      <c r="B49" s="2881" t="str">
        <f>估价对象房地状况!C18</f>
        <v>估价对象周边道路状况、公共交通通达情况、停车便捷程度，综合评价交通便捷度较好</v>
      </c>
      <c r="C49" s="2769"/>
      <c r="D49" s="1286">
        <f t="shared" si="10"/>
        <v>0</v>
      </c>
      <c r="E49" s="819"/>
      <c r="F49" s="2500"/>
      <c r="G49" s="1284"/>
      <c r="H49" s="1288" t="str">
        <f t="shared" si="11"/>
        <v>——</v>
      </c>
      <c r="I49" s="817">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7" t="s">
        <v>2946</v>
      </c>
      <c r="B50" s="2881">
        <f>估价对象房地状况!C19</f>
        <v>0</v>
      </c>
      <c r="C50" s="2769"/>
      <c r="D50" s="1286">
        <f t="shared" si="10"/>
        <v>0</v>
      </c>
      <c r="E50" s="819"/>
      <c r="F50" s="2500"/>
      <c r="G50" s="1284"/>
      <c r="H50" s="1288" t="str">
        <f t="shared" si="11"/>
        <v>——</v>
      </c>
      <c r="I50" s="817">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7" t="s">
        <v>2947</v>
      </c>
      <c r="B51" s="2882" t="s">
        <v>2948</v>
      </c>
      <c r="C51" s="2769"/>
      <c r="D51" s="1286">
        <f t="shared" si="10"/>
        <v>0</v>
      </c>
      <c r="E51" s="819"/>
      <c r="F51" s="2500"/>
      <c r="G51" s="1284"/>
      <c r="H51" s="1288" t="str">
        <f t="shared" si="11"/>
        <v>——</v>
      </c>
      <c r="I51" s="817">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7" t="s">
        <v>2949</v>
      </c>
      <c r="B52" s="2881">
        <f>估价对象房地状况!C24</f>
        <v>0</v>
      </c>
      <c r="C52" s="2769"/>
      <c r="D52" s="1286">
        <f t="shared" si="10"/>
        <v>0</v>
      </c>
      <c r="E52" s="819"/>
      <c r="F52" s="2500"/>
      <c r="G52" s="1284"/>
      <c r="H52" s="1288" t="str">
        <f t="shared" si="11"/>
        <v>——</v>
      </c>
      <c r="I52" s="817">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7" t="s">
        <v>2950</v>
      </c>
      <c r="B53" s="2883" t="s">
        <v>2951</v>
      </c>
      <c r="C53" s="2769"/>
      <c r="D53" s="1286">
        <f t="shared" si="10"/>
        <v>0</v>
      </c>
      <c r="E53" s="819"/>
      <c r="F53" s="2500"/>
      <c r="G53" s="1284"/>
      <c r="H53" s="1288" t="str">
        <f t="shared" si="11"/>
        <v>——</v>
      </c>
      <c r="I53" s="817">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4" t="s">
        <v>2952</v>
      </c>
      <c r="B54" s="1725" t="str">
        <f>估价对象房地状况!C21</f>
        <v>估价对象所在区域公共配套设施齐备情况</v>
      </c>
      <c r="C54" s="2769"/>
      <c r="D54" s="1286">
        <f t="shared" si="10"/>
        <v>0</v>
      </c>
      <c r="E54" s="819"/>
      <c r="F54" s="2500"/>
      <c r="G54" s="1284"/>
      <c r="H54" s="1288" t="str">
        <f t="shared" si="11"/>
        <v>——</v>
      </c>
      <c r="I54" s="817">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4" t="s">
        <v>2953</v>
      </c>
      <c r="B55" s="2881" t="str">
        <f>估价对象房地状况!C22</f>
        <v>估价对象所在区域基础设施水平</v>
      </c>
      <c r="C55" s="2769"/>
      <c r="D55" s="1286">
        <f t="shared" si="10"/>
        <v>0</v>
      </c>
      <c r="E55" s="819"/>
      <c r="F55" s="2500"/>
      <c r="G55" s="1284"/>
      <c r="H55" s="1288" t="str">
        <f t="shared" si="11"/>
        <v>——</v>
      </c>
      <c r="I55" s="817">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5" t="s">
        <v>2954</v>
      </c>
      <c r="B56" s="2886" t="str">
        <f>估价对象房地状况!C20</f>
        <v>区域自然环境：；人文环境；综合评价环境状况一般</v>
      </c>
      <c r="C56" s="2769"/>
      <c r="D56" s="1286">
        <f t="shared" si="10"/>
        <v>0</v>
      </c>
      <c r="E56" s="822"/>
      <c r="F56" s="2500"/>
      <c r="G56" s="1284"/>
      <c r="H56" s="1288" t="str">
        <f t="shared" si="11"/>
        <v>——</v>
      </c>
      <c r="I56" s="821">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3" t="s">
        <v>2955</v>
      </c>
      <c r="B57" s="2874">
        <f>1+E59</f>
        <v>1</v>
      </c>
      <c r="C57" s="811"/>
      <c r="D57" s="811"/>
      <c r="E57" s="812"/>
      <c r="F57" s="2876"/>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7" t="s">
        <v>2936</v>
      </c>
      <c r="B58" s="1809"/>
      <c r="C58" s="1809" t="s">
        <v>2938</v>
      </c>
      <c r="D58" s="1809" t="s">
        <v>2939</v>
      </c>
      <c r="E58" s="816" t="s">
        <v>2940</v>
      </c>
      <c r="F58" s="2878" t="s">
        <v>2956</v>
      </c>
      <c r="G58" s="1809" t="s">
        <v>754</v>
      </c>
      <c r="H58" s="2879" t="s">
        <v>2942</v>
      </c>
      <c r="I58" s="1809" t="s">
        <v>2943</v>
      </c>
      <c r="J58" s="603" t="s">
        <v>2590</v>
      </c>
      <c r="K58" s="603" t="s">
        <v>2591</v>
      </c>
      <c r="L58" s="603" t="s">
        <v>2592</v>
      </c>
      <c r="M58" s="603" t="s">
        <v>2593</v>
      </c>
      <c r="N58" s="603" t="s">
        <v>2594</v>
      </c>
      <c r="AA58" s="1371"/>
      <c r="AB58" s="1371"/>
      <c r="AC58" s="1371"/>
      <c r="AD58" s="1371"/>
      <c r="AE58" s="1371"/>
      <c r="AF58" s="1371"/>
      <c r="AG58" s="1371"/>
      <c r="AH58" s="1371"/>
      <c r="AI58" s="1371"/>
      <c r="AJ58" s="1371"/>
      <c r="AK58" s="1371"/>
    </row>
    <row r="59" spans="1:37" s="1370" customFormat="1" ht="38.25">
      <c r="A59" s="2877" t="s">
        <v>2957</v>
      </c>
      <c r="B59" s="2880" t="str">
        <f>估价对象房地状况!C17</f>
        <v>估价对象位于XX商圈，周边办公楼项目较多，入驻率高，办公集聚程度较好</v>
      </c>
      <c r="C59" s="2769"/>
      <c r="D59" s="1286">
        <f t="shared" ref="D59:D67" si="15">SUMIF($J$58:$N$58,C59,J59:N59)</f>
        <v>0</v>
      </c>
      <c r="E59" s="818">
        <f>ROUND(SUM(D59:D67),4)</f>
        <v>0</v>
      </c>
      <c r="F59" s="2500" t="str">
        <f>IF(E2="办公",SUMIF(L1:L12,G2,N1:N12),"——")</f>
        <v>——</v>
      </c>
      <c r="G59" s="1284"/>
      <c r="H59" s="1288" t="str">
        <f t="shared" ref="H59:H67" si="16">IFERROR(ROUNDDOWN($F$59*I59/2,4),"——")</f>
        <v>——</v>
      </c>
      <c r="I59" s="817">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7" t="s">
        <v>2945</v>
      </c>
      <c r="B60" s="2881" t="str">
        <f>估价对象房地状况!C18</f>
        <v>估价对象周边道路状况、公共交通通达情况、停车便捷程度，综合评价交通便捷度较好</v>
      </c>
      <c r="C60" s="2769"/>
      <c r="D60" s="1286">
        <f t="shared" si="15"/>
        <v>0</v>
      </c>
      <c r="E60" s="819"/>
      <c r="F60" s="2500"/>
      <c r="G60" s="1284"/>
      <c r="H60" s="1288" t="str">
        <f t="shared" si="16"/>
        <v>——</v>
      </c>
      <c r="I60" s="817">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7" t="s">
        <v>2946</v>
      </c>
      <c r="B61" s="2881">
        <f>估价对象房地状况!C19</f>
        <v>0</v>
      </c>
      <c r="C61" s="2769"/>
      <c r="D61" s="1286">
        <f t="shared" si="15"/>
        <v>0</v>
      </c>
      <c r="E61" s="819"/>
      <c r="F61" s="2500"/>
      <c r="G61" s="1284"/>
      <c r="H61" s="1288" t="str">
        <f t="shared" si="16"/>
        <v>——</v>
      </c>
      <c r="I61" s="817">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7" t="s">
        <v>2947</v>
      </c>
      <c r="B62" s="2882" t="s">
        <v>2948</v>
      </c>
      <c r="C62" s="2769"/>
      <c r="D62" s="1286">
        <f t="shared" si="15"/>
        <v>0</v>
      </c>
      <c r="E62" s="819"/>
      <c r="F62" s="2500"/>
      <c r="G62" s="1284"/>
      <c r="H62" s="1288" t="str">
        <f t="shared" si="16"/>
        <v>——</v>
      </c>
      <c r="I62" s="817">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7" t="s">
        <v>2949</v>
      </c>
      <c r="B63" s="2881">
        <f>估价对象房地状况!C24</f>
        <v>0</v>
      </c>
      <c r="C63" s="2769"/>
      <c r="D63" s="1286">
        <f t="shared" si="15"/>
        <v>0</v>
      </c>
      <c r="E63" s="819"/>
      <c r="F63" s="2500"/>
      <c r="G63" s="1284"/>
      <c r="H63" s="1288" t="str">
        <f t="shared" si="16"/>
        <v>——</v>
      </c>
      <c r="I63" s="817">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7" t="s">
        <v>2950</v>
      </c>
      <c r="B64" s="2883" t="s">
        <v>2951</v>
      </c>
      <c r="C64" s="2769"/>
      <c r="D64" s="1286">
        <f t="shared" si="15"/>
        <v>0</v>
      </c>
      <c r="E64" s="819"/>
      <c r="F64" s="2500"/>
      <c r="G64" s="1284"/>
      <c r="H64" s="1288" t="str">
        <f t="shared" si="16"/>
        <v>——</v>
      </c>
      <c r="I64" s="817">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7" t="s">
        <v>2952</v>
      </c>
      <c r="B65" s="1725" t="str">
        <f>估价对象房地状况!C21</f>
        <v>估价对象所在区域公共配套设施齐备情况</v>
      </c>
      <c r="C65" s="2769"/>
      <c r="D65" s="1286">
        <f t="shared" si="15"/>
        <v>0</v>
      </c>
      <c r="E65" s="819"/>
      <c r="F65" s="2500"/>
      <c r="G65" s="1284"/>
      <c r="H65" s="1288" t="str">
        <f t="shared" si="16"/>
        <v>——</v>
      </c>
      <c r="I65" s="817">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7" t="s">
        <v>2953</v>
      </c>
      <c r="B66" s="1725" t="str">
        <f>估价对象房地状况!C22</f>
        <v>估价对象所在区域基础设施水平</v>
      </c>
      <c r="C66" s="2769"/>
      <c r="D66" s="1286">
        <f t="shared" si="15"/>
        <v>0</v>
      </c>
      <c r="E66" s="819"/>
      <c r="F66" s="2500"/>
      <c r="G66" s="1284"/>
      <c r="H66" s="1288" t="str">
        <f t="shared" si="16"/>
        <v>——</v>
      </c>
      <c r="I66" s="817">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5" t="s">
        <v>2954</v>
      </c>
      <c r="B67" s="2887" t="str">
        <f>估价对象房地状况!C20</f>
        <v>区域自然环境：；人文环境；综合评价环境状况一般</v>
      </c>
      <c r="C67" s="2769"/>
      <c r="D67" s="1286">
        <f t="shared" si="15"/>
        <v>0</v>
      </c>
      <c r="E67" s="822"/>
      <c r="F67" s="2500"/>
      <c r="G67" s="1284"/>
      <c r="H67" s="1288" t="str">
        <f t="shared" si="16"/>
        <v>——</v>
      </c>
      <c r="I67" s="821">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3" t="s">
        <v>2958</v>
      </c>
      <c r="B68" s="2874">
        <f>1+E70</f>
        <v>1</v>
      </c>
      <c r="C68" s="811"/>
      <c r="D68" s="811"/>
      <c r="E68" s="812"/>
      <c r="F68" s="2876"/>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7" t="s">
        <v>2936</v>
      </c>
      <c r="B69" s="1809"/>
      <c r="C69" s="1809" t="s">
        <v>2938</v>
      </c>
      <c r="D69" s="1809" t="s">
        <v>2939</v>
      </c>
      <c r="E69" s="816" t="s">
        <v>2940</v>
      </c>
      <c r="F69" s="2878" t="s">
        <v>2956</v>
      </c>
      <c r="G69" s="1809" t="s">
        <v>754</v>
      </c>
      <c r="H69" s="2879" t="s">
        <v>2942</v>
      </c>
      <c r="I69" s="1809" t="s">
        <v>2943</v>
      </c>
      <c r="J69" s="603" t="s">
        <v>2590</v>
      </c>
      <c r="K69" s="603" t="s">
        <v>2591</v>
      </c>
      <c r="L69" s="603" t="s">
        <v>2592</v>
      </c>
      <c r="M69" s="603" t="s">
        <v>2593</v>
      </c>
      <c r="N69" s="603" t="s">
        <v>2594</v>
      </c>
      <c r="AA69" s="1371"/>
      <c r="AB69" s="1371"/>
      <c r="AC69" s="1371"/>
      <c r="AD69" s="1371"/>
      <c r="AE69" s="1371"/>
      <c r="AF69" s="1371"/>
      <c r="AG69" s="1371"/>
      <c r="AH69" s="1371"/>
      <c r="AI69" s="1371"/>
      <c r="AJ69" s="1371"/>
      <c r="AK69" s="1371"/>
    </row>
    <row r="70" spans="1:37" s="1370" customFormat="1" ht="51">
      <c r="A70" s="2877" t="s">
        <v>2959</v>
      </c>
      <c r="B70" s="2880" t="str">
        <f>估价对象房地状况!C15</f>
        <v>估价对象周边居住用地比例、居住小区规模和社区发展完善程度，综合评价居住社区成熟度一般</v>
      </c>
      <c r="C70" s="2769"/>
      <c r="D70" s="1286">
        <f t="shared" ref="D70:D78" si="20">SUMIF($J$69:$N$69,C70,J70:N70)</f>
        <v>0</v>
      </c>
      <c r="E70" s="818">
        <f>ROUND(SUM(D70:D78),4)</f>
        <v>0</v>
      </c>
      <c r="F70" s="2500"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7" t="s">
        <v>2945</v>
      </c>
      <c r="B71" s="2881" t="str">
        <f>估价对象房地状况!C18</f>
        <v>估价对象周边道路状况、公共交通通达情况、停车便捷程度，综合评价交通便捷度较好</v>
      </c>
      <c r="C71" s="2769"/>
      <c r="D71" s="1286">
        <f t="shared" si="20"/>
        <v>0</v>
      </c>
      <c r="E71" s="823"/>
      <c r="F71" s="2500"/>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7" t="s">
        <v>2946</v>
      </c>
      <c r="B72" s="2881">
        <f>估价对象房地状况!C19</f>
        <v>0</v>
      </c>
      <c r="C72" s="2769"/>
      <c r="D72" s="1286">
        <f t="shared" si="20"/>
        <v>0</v>
      </c>
      <c r="E72" s="823"/>
      <c r="F72" s="2500"/>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7" t="s">
        <v>2960</v>
      </c>
      <c r="B73" s="2881">
        <f>估价对象房地状况!C24</f>
        <v>0</v>
      </c>
      <c r="C73" s="2769"/>
      <c r="D73" s="1286">
        <f t="shared" si="20"/>
        <v>0</v>
      </c>
      <c r="E73" s="823"/>
      <c r="F73" s="2500"/>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7" t="s">
        <v>2952</v>
      </c>
      <c r="B74" s="1725" t="str">
        <f>估价对象房地状况!C21</f>
        <v>估价对象所在区域公共配套设施齐备情况</v>
      </c>
      <c r="C74" s="2769"/>
      <c r="D74" s="1286">
        <f t="shared" si="20"/>
        <v>0</v>
      </c>
      <c r="E74" s="823"/>
      <c r="F74" s="2500"/>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7" t="s">
        <v>2953</v>
      </c>
      <c r="B75" s="1725" t="str">
        <f>估价对象房地状况!C22</f>
        <v>估价对象所在区域基础设施水平</v>
      </c>
      <c r="C75" s="2769"/>
      <c r="D75" s="1286">
        <f t="shared" si="20"/>
        <v>0</v>
      </c>
      <c r="E75" s="823"/>
      <c r="F75" s="2500"/>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8" customFormat="1" ht="24">
      <c r="A76" s="2877" t="s">
        <v>2950</v>
      </c>
      <c r="B76" s="2883" t="s">
        <v>2951</v>
      </c>
      <c r="C76" s="2769"/>
      <c r="D76" s="1286">
        <f t="shared" si="20"/>
        <v>0</v>
      </c>
      <c r="E76" s="823"/>
      <c r="F76" s="2500"/>
      <c r="G76" s="1284"/>
      <c r="H76" s="1288" t="str">
        <f t="shared" si="21"/>
        <v>——</v>
      </c>
      <c r="I76" s="817">
        <v>0.05</v>
      </c>
      <c r="J76" s="1285">
        <f t="shared" si="22"/>
        <v>0</v>
      </c>
      <c r="K76" s="1285">
        <f t="shared" si="23"/>
        <v>0</v>
      </c>
      <c r="L76" s="1285">
        <v>0</v>
      </c>
      <c r="M76" s="1285">
        <f t="shared" si="24"/>
        <v>0</v>
      </c>
      <c r="N76" s="1285">
        <f t="shared" si="24"/>
        <v>0</v>
      </c>
      <c r="AA76" s="2888"/>
      <c r="AB76" s="1371"/>
      <c r="AC76" s="1371"/>
      <c r="AD76" s="1371"/>
      <c r="AE76" s="1371"/>
      <c r="AF76" s="1371"/>
      <c r="AG76" s="1371"/>
      <c r="AH76" s="2888"/>
      <c r="AI76" s="2888"/>
      <c r="AJ76" s="2888"/>
      <c r="AK76" s="2888"/>
    </row>
    <row r="77" spans="1:37" ht="38.25">
      <c r="A77" s="2877" t="s">
        <v>2954</v>
      </c>
      <c r="B77" s="2880" t="str">
        <f>估价对象房地状况!C20</f>
        <v>区域自然环境：；人文环境；综合评价环境状况一般</v>
      </c>
      <c r="C77" s="2769"/>
      <c r="D77" s="1286">
        <f t="shared" si="20"/>
        <v>0</v>
      </c>
      <c r="E77" s="823"/>
      <c r="F77" s="2500"/>
      <c r="G77" s="1284"/>
      <c r="H77" s="1288" t="str">
        <f t="shared" si="21"/>
        <v>——</v>
      </c>
      <c r="I77" s="817">
        <v>0.15</v>
      </c>
      <c r="J77" s="1285">
        <f t="shared" si="22"/>
        <v>0</v>
      </c>
      <c r="K77" s="1285">
        <f t="shared" si="23"/>
        <v>0</v>
      </c>
      <c r="L77" s="1285">
        <v>0</v>
      </c>
      <c r="M77" s="1285">
        <f t="shared" si="24"/>
        <v>0</v>
      </c>
      <c r="N77" s="1285">
        <f t="shared" si="24"/>
        <v>0</v>
      </c>
      <c r="Z77" s="2719"/>
      <c r="AA77" s="2795"/>
      <c r="AG77" s="1372"/>
      <c r="AK77" s="2795"/>
    </row>
    <row r="78" spans="1:37" ht="24.75" thickBot="1">
      <c r="A78" s="2885" t="s">
        <v>2961</v>
      </c>
      <c r="B78" s="2889"/>
      <c r="C78" s="2769"/>
      <c r="D78" s="1286">
        <f t="shared" si="20"/>
        <v>0</v>
      </c>
      <c r="E78" s="824"/>
      <c r="F78" s="2500"/>
      <c r="G78" s="1284"/>
      <c r="H78" s="1288" t="str">
        <f t="shared" si="21"/>
        <v>——</v>
      </c>
      <c r="I78" s="821">
        <v>0.04</v>
      </c>
      <c r="J78" s="1285">
        <f t="shared" si="22"/>
        <v>0</v>
      </c>
      <c r="K78" s="1285">
        <f t="shared" si="23"/>
        <v>0</v>
      </c>
      <c r="L78" s="1285">
        <v>0</v>
      </c>
      <c r="M78" s="1285">
        <f t="shared" si="24"/>
        <v>0</v>
      </c>
      <c r="N78" s="1285">
        <f t="shared" si="24"/>
        <v>0</v>
      </c>
      <c r="Z78" s="2719"/>
      <c r="AA78" s="2795"/>
      <c r="AG78" s="1372"/>
      <c r="AK78" s="2795"/>
    </row>
    <row r="79" spans="1:37" ht="15">
      <c r="A79" s="2873" t="s">
        <v>2962</v>
      </c>
      <c r="B79" s="2874">
        <f>1+E81</f>
        <v>1</v>
      </c>
      <c r="C79" s="811"/>
      <c r="D79" s="811"/>
      <c r="E79" s="812"/>
      <c r="F79" s="2876"/>
      <c r="G79" s="6"/>
      <c r="H79" s="6"/>
      <c r="I79" s="6"/>
      <c r="J79" s="7"/>
      <c r="K79" s="7"/>
      <c r="L79" s="7"/>
      <c r="M79" s="7"/>
      <c r="N79" s="7"/>
      <c r="Z79" s="2719"/>
      <c r="AA79" s="2795"/>
      <c r="AG79" s="1372"/>
      <c r="AK79" s="2795"/>
    </row>
    <row r="80" spans="1:37" ht="24.75">
      <c r="A80" s="2877" t="s">
        <v>2936</v>
      </c>
      <c r="B80" s="1809"/>
      <c r="C80" s="1809" t="s">
        <v>2938</v>
      </c>
      <c r="D80" s="1809" t="s">
        <v>2939</v>
      </c>
      <c r="E80" s="816" t="s">
        <v>2940</v>
      </c>
      <c r="F80" s="2878" t="s">
        <v>2956</v>
      </c>
      <c r="G80" s="1809" t="s">
        <v>754</v>
      </c>
      <c r="H80" s="2879" t="s">
        <v>2942</v>
      </c>
      <c r="I80" s="1809" t="s">
        <v>2943</v>
      </c>
      <c r="J80" s="603" t="s">
        <v>2590</v>
      </c>
      <c r="K80" s="603" t="s">
        <v>2591</v>
      </c>
      <c r="L80" s="603" t="s">
        <v>2592</v>
      </c>
      <c r="M80" s="603" t="s">
        <v>2593</v>
      </c>
      <c r="N80" s="603" t="s">
        <v>2594</v>
      </c>
      <c r="Z80" s="2719"/>
      <c r="AA80" s="2795"/>
      <c r="AG80" s="1372"/>
      <c r="AK80" s="2795"/>
    </row>
    <row r="81" spans="1:37" ht="38.25">
      <c r="A81" s="2877" t="s">
        <v>2963</v>
      </c>
      <c r="B81" s="2881" t="str">
        <f>估价对象房地状况!G15</f>
        <v>估价对象位于XX开发区，园区建设成熟度XX，产业集聚程度XX</v>
      </c>
      <c r="C81" s="2769"/>
      <c r="D81" s="1286">
        <f t="shared" ref="D81:D88" si="25">SUMIF($J$80:$N$80,C81,J81:N81)</f>
        <v>0</v>
      </c>
      <c r="E81" s="818">
        <f>ROUND(SUM(D81:D88),4)</f>
        <v>0</v>
      </c>
      <c r="F81" s="2500" t="str">
        <f>IF(E2="工业",SUMIF(L1:L12,G2,N1:N12),"——")</f>
        <v>——</v>
      </c>
      <c r="G81" s="1284"/>
      <c r="H81" s="1288" t="str">
        <f t="shared" ref="H81:H88" si="26">IFERROR(ROUNDDOWN($F$81*I81/2,4),"——")</f>
        <v>——</v>
      </c>
      <c r="I81" s="817">
        <v>0.26</v>
      </c>
      <c r="J81" s="1285">
        <f t="shared" ref="J81:J88" si="27">K81+$G81</f>
        <v>0</v>
      </c>
      <c r="K81" s="1285">
        <f t="shared" ref="K81:K88" si="28">$L81+$G81</f>
        <v>0</v>
      </c>
      <c r="L81" s="1285">
        <v>0</v>
      </c>
      <c r="M81" s="1285">
        <f t="shared" ref="M81:N88" si="29">L81-$G81</f>
        <v>0</v>
      </c>
      <c r="N81" s="1285">
        <f t="shared" si="29"/>
        <v>0</v>
      </c>
      <c r="Z81" s="2719"/>
      <c r="AA81" s="2795"/>
      <c r="AG81" s="1372"/>
      <c r="AK81" s="2795"/>
    </row>
    <row r="82" spans="1:37" ht="51">
      <c r="A82" s="2877" t="s">
        <v>2945</v>
      </c>
      <c r="B82" s="2881" t="str">
        <f>估价对象房地状况!G16</f>
        <v>估价对象周边道路状况、公共交通通达情况、停车便捷程度，综合评价交通便捷度较好</v>
      </c>
      <c r="C82" s="2769"/>
      <c r="D82" s="1286">
        <f t="shared" si="25"/>
        <v>0</v>
      </c>
      <c r="E82" s="823"/>
      <c r="F82" s="2500"/>
      <c r="G82" s="1284"/>
      <c r="H82" s="1288" t="str">
        <f t="shared" si="26"/>
        <v>——</v>
      </c>
      <c r="I82" s="817">
        <v>0.33</v>
      </c>
      <c r="J82" s="1285">
        <f t="shared" si="27"/>
        <v>0</v>
      </c>
      <c r="K82" s="1285">
        <f t="shared" si="28"/>
        <v>0</v>
      </c>
      <c r="L82" s="1285">
        <v>0</v>
      </c>
      <c r="M82" s="1285">
        <f t="shared" si="29"/>
        <v>0</v>
      </c>
      <c r="N82" s="1285">
        <f t="shared" si="29"/>
        <v>0</v>
      </c>
      <c r="Z82" s="2719"/>
      <c r="AA82" s="2795"/>
      <c r="AG82" s="1372"/>
      <c r="AK82" s="2795"/>
    </row>
    <row r="83" spans="1:37" ht="24">
      <c r="A83" s="2877" t="s">
        <v>2946</v>
      </c>
      <c r="B83" s="2881">
        <f>估价对象房地状况!G17</f>
        <v>0</v>
      </c>
      <c r="C83" s="2769"/>
      <c r="D83" s="1286">
        <f t="shared" si="25"/>
        <v>0</v>
      </c>
      <c r="E83" s="823"/>
      <c r="F83" s="2500"/>
      <c r="G83" s="1284"/>
      <c r="H83" s="1288" t="str">
        <f t="shared" si="26"/>
        <v>——</v>
      </c>
      <c r="I83" s="817">
        <v>0.05</v>
      </c>
      <c r="J83" s="1285">
        <f t="shared" si="27"/>
        <v>0</v>
      </c>
      <c r="K83" s="1285">
        <f t="shared" si="28"/>
        <v>0</v>
      </c>
      <c r="L83" s="1285">
        <v>0</v>
      </c>
      <c r="M83" s="1285">
        <f t="shared" si="29"/>
        <v>0</v>
      </c>
      <c r="N83" s="1285">
        <f t="shared" si="29"/>
        <v>0</v>
      </c>
      <c r="Z83" s="2719"/>
      <c r="AA83" s="2795"/>
      <c r="AG83" s="1372"/>
      <c r="AK83" s="2795"/>
    </row>
    <row r="84" spans="1:37" ht="14.25">
      <c r="A84" s="2877" t="s">
        <v>2960</v>
      </c>
      <c r="B84" s="2881">
        <f>估价对象房地状况!G22</f>
        <v>0</v>
      </c>
      <c r="C84" s="2769"/>
      <c r="D84" s="1286">
        <f t="shared" si="25"/>
        <v>0</v>
      </c>
      <c r="E84" s="823"/>
      <c r="F84" s="2500"/>
      <c r="G84" s="1284"/>
      <c r="H84" s="1288" t="str">
        <f t="shared" si="26"/>
        <v>——</v>
      </c>
      <c r="I84" s="817">
        <v>0.04</v>
      </c>
      <c r="J84" s="1285">
        <f t="shared" si="27"/>
        <v>0</v>
      </c>
      <c r="K84" s="1285">
        <f t="shared" si="28"/>
        <v>0</v>
      </c>
      <c r="L84" s="1285">
        <v>0</v>
      </c>
      <c r="M84" s="1285">
        <f t="shared" si="29"/>
        <v>0</v>
      </c>
      <c r="N84" s="1285">
        <f t="shared" si="29"/>
        <v>0</v>
      </c>
      <c r="Z84" s="2719"/>
      <c r="AA84" s="2795"/>
      <c r="AG84" s="1372"/>
      <c r="AK84" s="2795"/>
    </row>
    <row r="85" spans="1:37" ht="25.5">
      <c r="A85" s="2877" t="s">
        <v>2952</v>
      </c>
      <c r="B85" s="1725" t="str">
        <f>估价对象房地状况!G19</f>
        <v>估价对象所在区域公共配套设施齐备情况</v>
      </c>
      <c r="C85" s="2769"/>
      <c r="D85" s="1286">
        <f t="shared" si="25"/>
        <v>0</v>
      </c>
      <c r="E85" s="823"/>
      <c r="F85" s="2500"/>
      <c r="G85" s="1284"/>
      <c r="H85" s="1288" t="str">
        <f t="shared" si="26"/>
        <v>——</v>
      </c>
      <c r="I85" s="817">
        <v>0.06</v>
      </c>
      <c r="J85" s="1285">
        <f t="shared" si="27"/>
        <v>0</v>
      </c>
      <c r="K85" s="1285">
        <f t="shared" si="28"/>
        <v>0</v>
      </c>
      <c r="L85" s="1285">
        <v>0</v>
      </c>
      <c r="M85" s="1285">
        <f t="shared" si="29"/>
        <v>0</v>
      </c>
      <c r="N85" s="1285">
        <f t="shared" si="29"/>
        <v>0</v>
      </c>
      <c r="Z85" s="2719"/>
      <c r="AA85" s="2795"/>
      <c r="AG85" s="1372"/>
      <c r="AK85" s="2795"/>
    </row>
    <row r="86" spans="1:37" ht="25.5">
      <c r="A86" s="2877" t="s">
        <v>2953</v>
      </c>
      <c r="B86" s="1725" t="str">
        <f>估价对象房地状况!G20</f>
        <v>估价对象所在区域基础设施水平</v>
      </c>
      <c r="C86" s="2769"/>
      <c r="D86" s="1286">
        <f t="shared" si="25"/>
        <v>0</v>
      </c>
      <c r="E86" s="823"/>
      <c r="F86" s="2500"/>
      <c r="G86" s="1284"/>
      <c r="H86" s="1288" t="str">
        <f t="shared" si="26"/>
        <v>——</v>
      </c>
      <c r="I86" s="817">
        <v>0.15</v>
      </c>
      <c r="J86" s="1285">
        <f t="shared" si="27"/>
        <v>0</v>
      </c>
      <c r="K86" s="1285">
        <f t="shared" si="28"/>
        <v>0</v>
      </c>
      <c r="L86" s="1285">
        <v>0</v>
      </c>
      <c r="M86" s="1285">
        <f t="shared" si="29"/>
        <v>0</v>
      </c>
      <c r="N86" s="1285">
        <f t="shared" si="29"/>
        <v>0</v>
      </c>
      <c r="Z86" s="2719"/>
      <c r="AA86" s="2795"/>
      <c r="AG86" s="1372"/>
      <c r="AK86" s="2795"/>
    </row>
    <row r="87" spans="1:37" ht="24">
      <c r="A87" s="2877" t="s">
        <v>2950</v>
      </c>
      <c r="B87" s="2883" t="s">
        <v>2964</v>
      </c>
      <c r="C87" s="2769"/>
      <c r="D87" s="1286">
        <f t="shared" si="25"/>
        <v>0</v>
      </c>
      <c r="E87" s="823"/>
      <c r="F87" s="2500"/>
      <c r="G87" s="1284"/>
      <c r="H87" s="1288" t="str">
        <f t="shared" si="26"/>
        <v>——</v>
      </c>
      <c r="I87" s="817">
        <v>0.05</v>
      </c>
      <c r="J87" s="1285">
        <f t="shared" si="27"/>
        <v>0</v>
      </c>
      <c r="K87" s="1285">
        <f t="shared" si="28"/>
        <v>0</v>
      </c>
      <c r="L87" s="1285">
        <v>0</v>
      </c>
      <c r="M87" s="1285">
        <f t="shared" si="29"/>
        <v>0</v>
      </c>
      <c r="N87" s="1285">
        <f t="shared" si="29"/>
        <v>0</v>
      </c>
      <c r="Z87" s="2719"/>
      <c r="AA87" s="2795"/>
      <c r="AG87" s="1372"/>
      <c r="AK87" s="2795"/>
    </row>
    <row r="88" spans="1:37" ht="39" thickBot="1">
      <c r="A88" s="2885" t="s">
        <v>2965</v>
      </c>
      <c r="B88" s="2890" t="str">
        <f>估价对象房地状况!G18</f>
        <v>该园区内是否有污染型企业，绿化情况，卫生条件，整体环境状况判断</v>
      </c>
      <c r="C88" s="2769"/>
      <c r="D88" s="1286">
        <f t="shared" si="25"/>
        <v>0</v>
      </c>
      <c r="E88" s="824"/>
      <c r="F88" s="2500"/>
      <c r="G88" s="1284"/>
      <c r="H88" s="1288" t="str">
        <f t="shared" si="26"/>
        <v>——</v>
      </c>
      <c r="I88" s="821">
        <v>0.06</v>
      </c>
      <c r="J88" s="1285">
        <f t="shared" si="27"/>
        <v>0</v>
      </c>
      <c r="K88" s="1285">
        <f t="shared" si="28"/>
        <v>0</v>
      </c>
      <c r="L88" s="1285">
        <v>0</v>
      </c>
      <c r="M88" s="1285">
        <f t="shared" si="29"/>
        <v>0</v>
      </c>
      <c r="N88" s="1285">
        <f t="shared" si="29"/>
        <v>0</v>
      </c>
      <c r="Z88" s="2719"/>
      <c r="AA88" s="2795"/>
      <c r="AG88" s="1372"/>
      <c r="AK88" s="2795"/>
    </row>
    <row r="90" spans="1:37">
      <c r="A90" s="3449" t="s">
        <v>2966</v>
      </c>
      <c r="B90" s="3449"/>
      <c r="C90" s="3449"/>
      <c r="D90" s="3449"/>
      <c r="E90" s="3449"/>
      <c r="F90" s="3449"/>
      <c r="G90" s="3449"/>
      <c r="H90" s="3449"/>
      <c r="I90" s="3449"/>
      <c r="J90" s="3449"/>
      <c r="K90" s="2891"/>
      <c r="L90" s="2891"/>
      <c r="M90" s="2891"/>
      <c r="N90" s="2891"/>
    </row>
    <row r="91" spans="1:37">
      <c r="A91" s="3451" t="s">
        <v>2967</v>
      </c>
      <c r="B91" s="3451" t="s">
        <v>2968</v>
      </c>
      <c r="C91" s="2845" t="s">
        <v>2969</v>
      </c>
      <c r="D91" s="2846"/>
      <c r="E91" s="2846"/>
      <c r="F91" s="2846"/>
      <c r="G91" s="2846"/>
      <c r="H91" s="2846"/>
      <c r="I91" s="2846"/>
      <c r="J91" s="2892"/>
      <c r="K91" s="2893"/>
      <c r="L91" s="2893"/>
      <c r="M91" s="2893"/>
      <c r="N91" s="2893"/>
    </row>
    <row r="92" spans="1:37">
      <c r="A92" s="3451"/>
      <c r="B92" s="3451"/>
      <c r="C92" s="942" t="s">
        <v>2833</v>
      </c>
      <c r="D92" s="942" t="s">
        <v>2834</v>
      </c>
      <c r="E92" s="942" t="s">
        <v>2835</v>
      </c>
      <c r="F92" s="942" t="s">
        <v>2836</v>
      </c>
      <c r="G92" s="942" t="s">
        <v>2837</v>
      </c>
      <c r="H92" s="942" t="s">
        <v>2838</v>
      </c>
      <c r="I92" s="942" t="s">
        <v>2839</v>
      </c>
      <c r="J92" s="942" t="s">
        <v>2840</v>
      </c>
      <c r="K92" s="942" t="s">
        <v>2841</v>
      </c>
      <c r="L92" s="942" t="s">
        <v>2842</v>
      </c>
      <c r="M92" s="942" t="s">
        <v>2843</v>
      </c>
      <c r="N92" s="942" t="s">
        <v>2844</v>
      </c>
    </row>
    <row r="93" spans="1:37">
      <c r="A93" s="3452" t="s">
        <v>2970</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453"/>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453"/>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453"/>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453"/>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453"/>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453"/>
      <c r="B99" s="2894" t="s">
        <v>2849</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454"/>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452" t="s">
        <v>2971</v>
      </c>
      <c r="B101" s="2898" t="s">
        <v>2972</v>
      </c>
      <c r="C101" s="2899">
        <f>$G$3</f>
        <v>2.0099999999999998</v>
      </c>
      <c r="D101" s="2899">
        <f t="shared" ref="D101:N101" si="31">$G$3</f>
        <v>2.0099999999999998</v>
      </c>
      <c r="E101" s="2899">
        <f t="shared" si="31"/>
        <v>2.0099999999999998</v>
      </c>
      <c r="F101" s="2899">
        <f t="shared" si="31"/>
        <v>2.0099999999999998</v>
      </c>
      <c r="G101" s="2899">
        <f t="shared" si="31"/>
        <v>2.0099999999999998</v>
      </c>
      <c r="H101" s="2899">
        <f t="shared" si="31"/>
        <v>2.0099999999999998</v>
      </c>
      <c r="I101" s="2899">
        <f t="shared" si="31"/>
        <v>2.0099999999999998</v>
      </c>
      <c r="J101" s="2899">
        <f t="shared" si="31"/>
        <v>2.0099999999999998</v>
      </c>
      <c r="K101" s="2899">
        <f t="shared" si="31"/>
        <v>2.0099999999999998</v>
      </c>
      <c r="L101" s="2899">
        <f t="shared" si="31"/>
        <v>2.0099999999999998</v>
      </c>
      <c r="M101" s="2899">
        <f t="shared" si="31"/>
        <v>2.0099999999999998</v>
      </c>
      <c r="N101" s="2899">
        <f t="shared" si="31"/>
        <v>2.0099999999999998</v>
      </c>
    </row>
    <row r="102" spans="1:14">
      <c r="A102" s="3453"/>
      <c r="B102" s="2894">
        <v>1</v>
      </c>
      <c r="C102" s="2895">
        <f>1.9362/C101</f>
        <v>0.96328358208955234</v>
      </c>
      <c r="D102" s="2895">
        <f>1.9362/D101</f>
        <v>0.96328358208955234</v>
      </c>
      <c r="E102" s="2895">
        <f>1.8629/E101</f>
        <v>0.92681592039801008</v>
      </c>
      <c r="F102" s="2895">
        <f>1.8629/F101</f>
        <v>0.92681592039801008</v>
      </c>
      <c r="G102" s="2895">
        <f>1.8629/G101</f>
        <v>0.92681592039801008</v>
      </c>
      <c r="H102" s="2895">
        <f>1.8629/H101</f>
        <v>0.92681592039801008</v>
      </c>
      <c r="I102" s="2895">
        <f>1.8629/I101</f>
        <v>0.92681592039801008</v>
      </c>
      <c r="J102" s="2895">
        <f>1.942/J101</f>
        <v>0.96616915422885585</v>
      </c>
      <c r="K102" s="2895">
        <f>1.942/K101</f>
        <v>0.96616915422885585</v>
      </c>
      <c r="L102" s="2895">
        <f>1.942/L101</f>
        <v>0.96616915422885585</v>
      </c>
      <c r="M102" s="2895">
        <f>1.942/M101</f>
        <v>0.96616915422885585</v>
      </c>
      <c r="N102" s="2895">
        <f>1.942/N101</f>
        <v>0.96616915422885585</v>
      </c>
    </row>
    <row r="103" spans="1:14">
      <c r="A103" s="3453"/>
      <c r="B103" s="2894">
        <v>2</v>
      </c>
      <c r="C103" s="2895">
        <f>1.4198/C101</f>
        <v>0.70636815920398011</v>
      </c>
      <c r="D103" s="2895">
        <f>1.4198/D101</f>
        <v>0.70636815920398011</v>
      </c>
      <c r="E103" s="2895">
        <f>1.3372/E101</f>
        <v>0.66527363184079602</v>
      </c>
      <c r="F103" s="2895">
        <f>1.3372/F101</f>
        <v>0.66527363184079602</v>
      </c>
      <c r="G103" s="2895">
        <f>1.3372/G101</f>
        <v>0.66527363184079602</v>
      </c>
      <c r="H103" s="2895">
        <f>1.3372/H101</f>
        <v>0.66527363184079602</v>
      </c>
      <c r="I103" s="2895">
        <f>1.3372/I101</f>
        <v>0.66527363184079602</v>
      </c>
      <c r="J103" s="2895">
        <f>1.2799/J101</f>
        <v>0.6367661691542289</v>
      </c>
      <c r="K103" s="2895">
        <f>1.2799/K101</f>
        <v>0.6367661691542289</v>
      </c>
      <c r="L103" s="2895">
        <f>1.2799/L101</f>
        <v>0.6367661691542289</v>
      </c>
      <c r="M103" s="2895">
        <f>1.2799/M101</f>
        <v>0.6367661691542289</v>
      </c>
      <c r="N103" s="2895">
        <f>1.2799/N101</f>
        <v>0.6367661691542289</v>
      </c>
    </row>
    <row r="104" spans="1:14">
      <c r="A104" s="3453"/>
      <c r="B104" s="2894">
        <v>3</v>
      </c>
      <c r="C104" s="2895">
        <f>1.1594/C101</f>
        <v>0.57681592039801</v>
      </c>
      <c r="D104" s="2895">
        <f>1.1594/D101</f>
        <v>0.57681592039801</v>
      </c>
      <c r="E104" s="2895">
        <f>1.0788/E101</f>
        <v>0.53671641791044777</v>
      </c>
      <c r="F104" s="2895">
        <f>1.0788/F101</f>
        <v>0.53671641791044777</v>
      </c>
      <c r="G104" s="2895">
        <f>1.0788/G101</f>
        <v>0.53671641791044777</v>
      </c>
      <c r="H104" s="2895">
        <f>1.0788/H101</f>
        <v>0.53671641791044777</v>
      </c>
      <c r="I104" s="2895">
        <f>1.0788/I101</f>
        <v>0.53671641791044777</v>
      </c>
      <c r="J104" s="2895">
        <f>1.0072/J101</f>
        <v>0.50109452736318416</v>
      </c>
      <c r="K104" s="2895">
        <f>1.0072/K101</f>
        <v>0.50109452736318416</v>
      </c>
      <c r="L104" s="2895">
        <f>1.0072/L101</f>
        <v>0.50109452736318416</v>
      </c>
      <c r="M104" s="2895">
        <f>1.0072/M101</f>
        <v>0.50109452736318416</v>
      </c>
      <c r="N104" s="2895">
        <f>1.0072/N101</f>
        <v>0.50109452736318416</v>
      </c>
    </row>
    <row r="105" spans="1:14">
      <c r="A105" s="3453"/>
      <c r="B105" s="2894">
        <v>4</v>
      </c>
      <c r="C105" s="2895">
        <f>0.9622/C101</f>
        <v>0.47870646766169161</v>
      </c>
      <c r="D105" s="2895">
        <f>0.9622/D101</f>
        <v>0.47870646766169161</v>
      </c>
      <c r="E105" s="2895">
        <f>0.8656/E101</f>
        <v>0.43064676616915432</v>
      </c>
      <c r="F105" s="2895">
        <f>0.8656/F101</f>
        <v>0.43064676616915432</v>
      </c>
      <c r="G105" s="2895">
        <f>0.8656/G101</f>
        <v>0.43064676616915432</v>
      </c>
      <c r="H105" s="2895">
        <f>0.8656/H101</f>
        <v>0.43064676616915432</v>
      </c>
      <c r="I105" s="2895">
        <f>0.8656/I101</f>
        <v>0.43064676616915432</v>
      </c>
      <c r="J105" s="2895">
        <f>0.7525/J101</f>
        <v>0.37437810945273631</v>
      </c>
      <c r="K105" s="2895">
        <f>0.7525/K101</f>
        <v>0.37437810945273631</v>
      </c>
      <c r="L105" s="2895">
        <f>0.7525/L101</f>
        <v>0.37437810945273631</v>
      </c>
      <c r="M105" s="2895">
        <f>0.7525/M101</f>
        <v>0.37437810945273631</v>
      </c>
      <c r="N105" s="2895">
        <f>0.7525/N101</f>
        <v>0.37437810945273631</v>
      </c>
    </row>
    <row r="106" spans="1:14">
      <c r="A106" s="3453"/>
      <c r="B106" s="2894">
        <v>5</v>
      </c>
      <c r="C106" s="2895">
        <f>0.8417/C101</f>
        <v>0.41875621890547271</v>
      </c>
      <c r="D106" s="2895">
        <f>0.8417/D101</f>
        <v>0.41875621890547271</v>
      </c>
      <c r="E106" s="2895">
        <f>0.7371/E101</f>
        <v>0.36671641791044779</v>
      </c>
      <c r="F106" s="2895">
        <f>0.7371/F101</f>
        <v>0.36671641791044779</v>
      </c>
      <c r="G106" s="2895">
        <f>0.7371/G101</f>
        <v>0.36671641791044779</v>
      </c>
      <c r="H106" s="2895">
        <f>0.7371/H101</f>
        <v>0.36671641791044779</v>
      </c>
      <c r="I106" s="2895">
        <f>0.7371/I101</f>
        <v>0.36671641791044779</v>
      </c>
      <c r="J106" s="2895">
        <f>0.5659/J101</f>
        <v>0.28154228855721392</v>
      </c>
      <c r="K106" s="2895">
        <f>0.5659/K101</f>
        <v>0.28154228855721392</v>
      </c>
      <c r="L106" s="2895">
        <f>0.5659/L101</f>
        <v>0.28154228855721392</v>
      </c>
      <c r="M106" s="2895">
        <f>0.5659/M101</f>
        <v>0.28154228855721392</v>
      </c>
      <c r="N106" s="2895">
        <f>0.5659/N101</f>
        <v>0.28154228855721392</v>
      </c>
    </row>
    <row r="107" spans="1:14">
      <c r="A107" s="3453"/>
      <c r="B107" s="2894">
        <v>6</v>
      </c>
      <c r="C107" s="2895">
        <f>0.7608/C101</f>
        <v>0.37850746268656721</v>
      </c>
      <c r="D107" s="2895">
        <f>0.7608/D101</f>
        <v>0.37850746268656721</v>
      </c>
      <c r="E107" s="2895">
        <f>0.6482/E101</f>
        <v>0.32248756218905478</v>
      </c>
      <c r="F107" s="2895">
        <f>0.6482/F101</f>
        <v>0.32248756218905478</v>
      </c>
      <c r="G107" s="2895">
        <f>0.6482/G101</f>
        <v>0.32248756218905478</v>
      </c>
      <c r="H107" s="2895">
        <f>0.6482/H101</f>
        <v>0.32248756218905478</v>
      </c>
      <c r="I107" s="2895">
        <f>0.6482/I101</f>
        <v>0.32248756218905478</v>
      </c>
      <c r="J107" s="2895">
        <f>0.4525/J101</f>
        <v>0.22512437810945277</v>
      </c>
      <c r="K107" s="2895">
        <f>0.4525/K101</f>
        <v>0.22512437810945277</v>
      </c>
      <c r="L107" s="2895">
        <f>0.4525/L101</f>
        <v>0.22512437810945277</v>
      </c>
      <c r="M107" s="2895">
        <f>0.4525/M101</f>
        <v>0.22512437810945277</v>
      </c>
      <c r="N107" s="2895">
        <f>0.4525/N101</f>
        <v>0.22512437810945277</v>
      </c>
    </row>
    <row r="108" spans="1:14">
      <c r="A108" s="3453"/>
      <c r="B108" s="3276" t="s">
        <v>2973</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454"/>
      <c r="B109" s="3277"/>
      <c r="C109" s="2897">
        <f>(-0.163*(C108^2)-0.59*C108+7617)*(10^(-4))/C101</f>
        <v>0.3789552238805971</v>
      </c>
      <c r="D109" s="2897">
        <f>(-0.163*(D108^2)-0.59*D108+7617)*(10^(-4))/D101</f>
        <v>0.3789552238805971</v>
      </c>
      <c r="E109" s="2897">
        <f>(-0.161*(E108^2)-7.509*E108+6533)*(10^(-4))/E101</f>
        <v>0.32502487562189059</v>
      </c>
      <c r="F109" s="2897">
        <f>(-0.161*(F108^2)-7.509*F108+6533)*(10^(-4))/F101</f>
        <v>0.32502487562189059</v>
      </c>
      <c r="G109" s="2897">
        <f>(-0.161*(G108^2)-7.509*G108+6533)*(10^(-4))/G101</f>
        <v>0.32502487562189059</v>
      </c>
      <c r="H109" s="2897">
        <f>(-0.161*(H108^2)-7.509*H108+6533)*(10^(-4))/H101</f>
        <v>0.32502487562189059</v>
      </c>
      <c r="I109" s="2897">
        <f>(-0.161*(I108^2)-7.509*I108+6533)*(10^(-4))/I101</f>
        <v>0.32502487562189059</v>
      </c>
      <c r="J109" s="2897">
        <f>(-0.214*(J108^2)-21.991*J108+4665)*(10^(-4))/J101</f>
        <v>0.23208955223880601</v>
      </c>
      <c r="K109" s="2897">
        <f>(-0.214*(K108^2)-21.991*K108+4665)*(10^(-4))/K101</f>
        <v>0.23208955223880601</v>
      </c>
      <c r="L109" s="2897">
        <f>(-0.214*(L108^2)-21.991*L108+4665)*(10^(-4))/L101</f>
        <v>0.23208955223880601</v>
      </c>
      <c r="M109" s="2897">
        <f>(-0.214*(M108^2)-21.991*M108+4665)*(10^(-4))/M101</f>
        <v>0.23208955223880601</v>
      </c>
      <c r="N109" s="2897">
        <f>(-0.214*(N108^2)-21.991*N108+4665)*(10^(-4))/N101</f>
        <v>0.23208955223880601</v>
      </c>
    </row>
    <row r="110" spans="1:14">
      <c r="A110" s="3450" t="s">
        <v>2974</v>
      </c>
      <c r="B110" s="3450"/>
      <c r="C110" s="3450"/>
      <c r="D110" s="3450"/>
      <c r="E110" s="3450"/>
      <c r="F110" s="3450"/>
      <c r="G110" s="3450"/>
      <c r="H110" s="3450"/>
      <c r="I110" s="3450"/>
      <c r="J110" s="3450"/>
      <c r="K110" s="2900"/>
      <c r="L110" s="2900"/>
      <c r="M110" s="2900"/>
      <c r="N110" s="2900"/>
    </row>
    <row r="112" spans="1:14" ht="13.5" thickBot="1"/>
    <row r="113" spans="1:13" ht="25.5" thickBot="1">
      <c r="A113" s="900" t="s">
        <v>2975</v>
      </c>
      <c r="B113" s="1287">
        <f>G3</f>
        <v>2.0099999999999998</v>
      </c>
      <c r="C113" s="901" t="s">
        <v>2976</v>
      </c>
      <c r="D113" s="902">
        <f>SUMPRODUCT((A115:A118=F113)*(B114:M114=H113)*B115:M118)</f>
        <v>0</v>
      </c>
      <c r="E113" s="2723" t="s">
        <v>2806</v>
      </c>
      <c r="F113" s="2902">
        <f>E2</f>
        <v>0</v>
      </c>
      <c r="G113" s="2723" t="s">
        <v>2807</v>
      </c>
      <c r="H113" s="2902">
        <f>G2</f>
        <v>0</v>
      </c>
      <c r="I113" s="2723"/>
      <c r="J113" s="2903"/>
      <c r="K113" s="2903"/>
      <c r="L113" s="2903"/>
      <c r="M113" s="2903"/>
    </row>
    <row r="114" spans="1:13">
      <c r="A114" s="905"/>
      <c r="B114" s="2904" t="s">
        <v>2977</v>
      </c>
      <c r="C114" s="2904" t="s">
        <v>2978</v>
      </c>
      <c r="D114" s="2904" t="s">
        <v>2979</v>
      </c>
      <c r="E114" s="2905" t="s">
        <v>2980</v>
      </c>
      <c r="F114" s="2905" t="s">
        <v>2981</v>
      </c>
      <c r="G114" s="2905" t="s">
        <v>2982</v>
      </c>
      <c r="H114" s="2906" t="s">
        <v>2983</v>
      </c>
      <c r="I114" s="2906" t="s">
        <v>2984</v>
      </c>
      <c r="J114" s="2907" t="s">
        <v>2985</v>
      </c>
      <c r="K114" s="2907" t="s">
        <v>2986</v>
      </c>
      <c r="L114" s="2907" t="s">
        <v>2987</v>
      </c>
      <c r="M114" s="2908" t="s">
        <v>2988</v>
      </c>
    </row>
    <row r="115" spans="1:13">
      <c r="A115" s="906" t="s">
        <v>2871</v>
      </c>
      <c r="B115" s="907">
        <f>ROUND(0.9335-0.0094*B113,4)</f>
        <v>0.91459999999999997</v>
      </c>
      <c r="C115" s="907">
        <f>B115</f>
        <v>0.91459999999999997</v>
      </c>
      <c r="D115" s="907">
        <f>ROUND(0.8331-0.0109*B113,4)</f>
        <v>0.81120000000000003</v>
      </c>
      <c r="E115" s="907">
        <f>D115</f>
        <v>0.81120000000000003</v>
      </c>
      <c r="F115" s="907">
        <f>E115</f>
        <v>0.81120000000000003</v>
      </c>
      <c r="G115" s="907">
        <f>F115</f>
        <v>0.81120000000000003</v>
      </c>
      <c r="H115" s="907">
        <f>G115</f>
        <v>0.81120000000000003</v>
      </c>
      <c r="I115" s="907">
        <f>ROUND(0.689-0.0155*B113,4)</f>
        <v>0.65780000000000005</v>
      </c>
      <c r="J115" s="907">
        <f t="shared" ref="J115:M118" si="33">I115</f>
        <v>0.65780000000000005</v>
      </c>
      <c r="K115" s="907">
        <f t="shared" si="33"/>
        <v>0.65780000000000005</v>
      </c>
      <c r="L115" s="907">
        <f t="shared" si="33"/>
        <v>0.65780000000000005</v>
      </c>
      <c r="M115" s="908">
        <f t="shared" si="33"/>
        <v>0.65780000000000005</v>
      </c>
    </row>
    <row r="116" spans="1:13">
      <c r="A116" s="906" t="s">
        <v>2872</v>
      </c>
      <c r="B116" s="907">
        <f>ROUND(0.949-0.012*B113,4)</f>
        <v>0.92490000000000006</v>
      </c>
      <c r="C116" s="907">
        <f>B116</f>
        <v>0.92490000000000006</v>
      </c>
      <c r="D116" s="907">
        <f>ROUND(0.8567-0.013*B113,4)</f>
        <v>0.8306</v>
      </c>
      <c r="E116" s="907">
        <f t="shared" ref="E116:H117" si="34">D116</f>
        <v>0.8306</v>
      </c>
      <c r="F116" s="907">
        <f t="shared" si="34"/>
        <v>0.8306</v>
      </c>
      <c r="G116" s="907">
        <f t="shared" si="34"/>
        <v>0.8306</v>
      </c>
      <c r="H116" s="907">
        <f t="shared" si="34"/>
        <v>0.8306</v>
      </c>
      <c r="I116" s="907">
        <f>ROUND(0.7694-0.014*B113,4)</f>
        <v>0.74129999999999996</v>
      </c>
      <c r="J116" s="907">
        <f t="shared" si="33"/>
        <v>0.74129999999999996</v>
      </c>
      <c r="K116" s="907">
        <f t="shared" si="33"/>
        <v>0.74129999999999996</v>
      </c>
      <c r="L116" s="907">
        <f t="shared" si="33"/>
        <v>0.74129999999999996</v>
      </c>
      <c r="M116" s="908">
        <f t="shared" si="33"/>
        <v>0.74129999999999996</v>
      </c>
    </row>
    <row r="117" spans="1:13">
      <c r="A117" s="906" t="s">
        <v>2873</v>
      </c>
      <c r="B117" s="907">
        <f>ROUND(0.8808-0.006*B113,4)</f>
        <v>0.86870000000000003</v>
      </c>
      <c r="C117" s="907">
        <f>B117</f>
        <v>0.86870000000000003</v>
      </c>
      <c r="D117" s="907">
        <f>ROUND(0.8748-0.008*B113,4)</f>
        <v>0.85870000000000002</v>
      </c>
      <c r="E117" s="907">
        <f t="shared" si="34"/>
        <v>0.85870000000000002</v>
      </c>
      <c r="F117" s="907">
        <f t="shared" si="34"/>
        <v>0.85870000000000002</v>
      </c>
      <c r="G117" s="907">
        <f t="shared" si="34"/>
        <v>0.85870000000000002</v>
      </c>
      <c r="H117" s="907">
        <f t="shared" si="34"/>
        <v>0.85870000000000002</v>
      </c>
      <c r="I117" s="907">
        <f>ROUND(0.7412-0.0095*B113,4)</f>
        <v>0.72209999999999996</v>
      </c>
      <c r="J117" s="907">
        <f t="shared" si="33"/>
        <v>0.72209999999999996</v>
      </c>
      <c r="K117" s="907">
        <f t="shared" si="33"/>
        <v>0.72209999999999996</v>
      </c>
      <c r="L117" s="907">
        <f t="shared" si="33"/>
        <v>0.72209999999999996</v>
      </c>
      <c r="M117" s="908">
        <f t="shared" si="33"/>
        <v>0.72209999999999996</v>
      </c>
    </row>
    <row r="118" spans="1:13" ht="13.5" thickBot="1">
      <c r="A118" s="714" t="s">
        <v>2874</v>
      </c>
      <c r="B118" s="909">
        <f>ROUND(0.7275-0.01*B113,4)</f>
        <v>0.70740000000000003</v>
      </c>
      <c r="C118" s="909">
        <f>B118</f>
        <v>0.70740000000000003</v>
      </c>
      <c r="D118" s="909">
        <f>ROUND(0.7043-0.012*B113,4)</f>
        <v>0.68020000000000003</v>
      </c>
      <c r="E118" s="909">
        <f>D118</f>
        <v>0.68020000000000003</v>
      </c>
      <c r="F118" s="909">
        <f>E118</f>
        <v>0.68020000000000003</v>
      </c>
      <c r="G118" s="909">
        <f>ROUND(0.6299-0.0122*B113,4)</f>
        <v>0.60540000000000005</v>
      </c>
      <c r="H118" s="909">
        <f>G118</f>
        <v>0.60540000000000005</v>
      </c>
      <c r="I118" s="909">
        <f>ROUND(0.5667-0.0136*B113,4)</f>
        <v>0.53939999999999999</v>
      </c>
      <c r="J118" s="909">
        <f t="shared" si="33"/>
        <v>0.53939999999999999</v>
      </c>
      <c r="K118" s="909">
        <f t="shared" si="33"/>
        <v>0.53939999999999999</v>
      </c>
      <c r="L118" s="909">
        <f t="shared" si="33"/>
        <v>0.53939999999999999</v>
      </c>
      <c r="M118" s="910">
        <f t="shared" si="33"/>
        <v>0.53939999999999999</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467" t="s">
        <v>183</v>
      </c>
      <c r="B18" s="879" t="s">
        <v>560</v>
      </c>
      <c r="C18" s="880" t="s">
        <v>561</v>
      </c>
      <c r="D18" s="881"/>
      <c r="E18" s="879">
        <v>1</v>
      </c>
      <c r="F18" s="882" t="s">
        <v>562</v>
      </c>
      <c r="G18" s="883"/>
      <c r="H18" s="875"/>
      <c r="I18" s="875"/>
    </row>
    <row r="19" spans="1:9" s="884" customFormat="1" ht="19.5" customHeight="1">
      <c r="A19" s="3467"/>
      <c r="B19" s="3467" t="s">
        <v>563</v>
      </c>
      <c r="C19" s="880" t="s">
        <v>564</v>
      </c>
      <c r="D19" s="881"/>
      <c r="E19" s="879">
        <v>0.9</v>
      </c>
      <c r="F19" s="882" t="s">
        <v>565</v>
      </c>
      <c r="G19" s="883"/>
      <c r="H19" s="875"/>
      <c r="I19" s="875"/>
    </row>
    <row r="20" spans="1:9" s="884" customFormat="1" ht="19.5" customHeight="1">
      <c r="A20" s="3467"/>
      <c r="B20" s="3467"/>
      <c r="C20" s="880" t="s">
        <v>566</v>
      </c>
      <c r="D20" s="881"/>
      <c r="E20" s="879">
        <v>1.1000000000000001</v>
      </c>
      <c r="F20" s="882" t="s">
        <v>567</v>
      </c>
      <c r="G20" s="883"/>
      <c r="H20" s="875"/>
      <c r="I20" s="875"/>
    </row>
    <row r="21" spans="1:9" s="884" customFormat="1" ht="19.5" customHeight="1">
      <c r="A21" s="3467"/>
      <c r="B21" s="3467"/>
      <c r="C21" s="880" t="s">
        <v>568</v>
      </c>
      <c r="D21" s="881"/>
      <c r="E21" s="879">
        <v>0.8</v>
      </c>
      <c r="F21" s="882" t="s">
        <v>569</v>
      </c>
      <c r="G21" s="883"/>
      <c r="H21" s="875"/>
      <c r="I21" s="875"/>
    </row>
    <row r="22" spans="1:9" s="884" customFormat="1" ht="19.5" customHeight="1">
      <c r="A22" s="3467"/>
      <c r="B22" s="3467"/>
      <c r="C22" s="880" t="s">
        <v>570</v>
      </c>
      <c r="D22" s="881"/>
      <c r="E22" s="879">
        <v>0.5</v>
      </c>
      <c r="F22" s="882"/>
      <c r="G22" s="883"/>
      <c r="H22" s="875"/>
      <c r="I22" s="875"/>
    </row>
    <row r="23" spans="1:9" s="884" customFormat="1" ht="19.5" customHeight="1">
      <c r="A23" s="3467" t="s">
        <v>184</v>
      </c>
      <c r="B23" s="879" t="s">
        <v>560</v>
      </c>
      <c r="C23" s="880" t="s">
        <v>571</v>
      </c>
      <c r="D23" s="881"/>
      <c r="E23" s="879">
        <v>1</v>
      </c>
      <c r="F23" s="882" t="s">
        <v>572</v>
      </c>
      <c r="G23" s="883"/>
      <c r="H23" s="875"/>
      <c r="I23" s="875"/>
    </row>
    <row r="24" spans="1:9" s="884" customFormat="1" ht="19.5" customHeight="1">
      <c r="A24" s="3467"/>
      <c r="B24" s="3467" t="s">
        <v>563</v>
      </c>
      <c r="C24" s="880" t="s">
        <v>573</v>
      </c>
      <c r="D24" s="881"/>
      <c r="E24" s="879">
        <v>0.5</v>
      </c>
      <c r="F24" s="882"/>
      <c r="G24" s="883"/>
      <c r="H24" s="875"/>
      <c r="I24" s="875"/>
    </row>
    <row r="25" spans="1:9" s="884" customFormat="1" ht="19.5" customHeight="1">
      <c r="A25" s="3467"/>
      <c r="B25" s="3467"/>
      <c r="C25" s="880" t="s">
        <v>574</v>
      </c>
      <c r="D25" s="881"/>
      <c r="E25" s="879">
        <v>1.1000000000000001</v>
      </c>
      <c r="F25" s="882"/>
      <c r="G25" s="883"/>
      <c r="H25" s="875"/>
      <c r="I25" s="875"/>
    </row>
    <row r="26" spans="1:9" s="884" customFormat="1" ht="19.5" customHeight="1">
      <c r="A26" s="3467"/>
      <c r="B26" s="3467"/>
      <c r="C26" s="880" t="s">
        <v>575</v>
      </c>
      <c r="D26" s="881"/>
      <c r="E26" s="879">
        <v>1.1000000000000001</v>
      </c>
      <c r="F26" s="882"/>
      <c r="G26" s="883"/>
      <c r="H26" s="875"/>
      <c r="I26" s="875"/>
    </row>
    <row r="27" spans="1:9" s="884" customFormat="1" ht="19.5" customHeight="1">
      <c r="A27" s="3467"/>
      <c r="B27" s="3467"/>
      <c r="C27" s="880" t="s">
        <v>576</v>
      </c>
      <c r="D27" s="881"/>
      <c r="E27" s="879">
        <v>0.9</v>
      </c>
      <c r="F27" s="882" t="s">
        <v>577</v>
      </c>
      <c r="G27" s="883"/>
      <c r="H27" s="875"/>
      <c r="I27" s="875"/>
    </row>
    <row r="28" spans="1:9" s="884" customFormat="1" ht="19.5" customHeight="1">
      <c r="A28" s="3467"/>
      <c r="B28" s="3467"/>
      <c r="C28" s="880" t="s">
        <v>578</v>
      </c>
      <c r="D28" s="881"/>
      <c r="E28" s="879">
        <v>0.9</v>
      </c>
      <c r="F28" s="882" t="s">
        <v>579</v>
      </c>
      <c r="G28" s="883"/>
      <c r="H28" s="875"/>
      <c r="I28" s="875"/>
    </row>
    <row r="29" spans="1:9" s="884" customFormat="1" ht="19.5" customHeight="1">
      <c r="A29" s="3467"/>
      <c r="B29" s="3467"/>
      <c r="C29" s="880" t="s">
        <v>580</v>
      </c>
      <c r="D29" s="881"/>
      <c r="E29" s="879">
        <v>0.9</v>
      </c>
      <c r="F29" s="882" t="s">
        <v>581</v>
      </c>
      <c r="G29" s="883"/>
      <c r="H29" s="875"/>
      <c r="I29" s="875"/>
    </row>
    <row r="30" spans="1:9" s="884" customFormat="1" ht="19.5" customHeight="1">
      <c r="A30" s="3467"/>
      <c r="B30" s="3467"/>
      <c r="C30" s="880" t="s">
        <v>582</v>
      </c>
      <c r="D30" s="881"/>
      <c r="E30" s="879">
        <v>0.9</v>
      </c>
      <c r="F30" s="882" t="s">
        <v>583</v>
      </c>
      <c r="G30" s="883"/>
      <c r="H30" s="875"/>
      <c r="I30" s="875"/>
    </row>
    <row r="31" spans="1:9" s="884" customFormat="1" ht="19.5" customHeight="1">
      <c r="A31" s="3467"/>
      <c r="B31" s="3467"/>
      <c r="C31" s="880" t="s">
        <v>584</v>
      </c>
      <c r="D31" s="881"/>
      <c r="E31" s="879">
        <v>0.8</v>
      </c>
      <c r="F31" s="882" t="s">
        <v>585</v>
      </c>
      <c r="G31" s="883"/>
      <c r="H31" s="875"/>
      <c r="I31" s="875"/>
    </row>
    <row r="32" spans="1:9" s="884" customFormat="1" ht="19.5" customHeight="1">
      <c r="A32" s="3467"/>
      <c r="B32" s="3467"/>
      <c r="C32" s="880" t="s">
        <v>586</v>
      </c>
      <c r="D32" s="881"/>
      <c r="E32" s="879">
        <v>0.8</v>
      </c>
      <c r="F32" s="882" t="s">
        <v>587</v>
      </c>
      <c r="G32" s="883"/>
      <c r="H32" s="875"/>
      <c r="I32" s="875"/>
    </row>
    <row r="33" spans="1:9" s="884" customFormat="1" ht="19.5" customHeight="1">
      <c r="A33" s="3467" t="s">
        <v>185</v>
      </c>
      <c r="B33" s="879" t="s">
        <v>560</v>
      </c>
      <c r="C33" s="880" t="s">
        <v>588</v>
      </c>
      <c r="D33" s="881"/>
      <c r="E33" s="879">
        <v>1</v>
      </c>
      <c r="F33" s="882" t="s">
        <v>589</v>
      </c>
      <c r="G33" s="883"/>
      <c r="H33" s="875"/>
      <c r="I33" s="875"/>
    </row>
    <row r="34" spans="1:9" s="884" customFormat="1" ht="19.5" customHeight="1">
      <c r="A34" s="3467"/>
      <c r="B34" s="879" t="s">
        <v>563</v>
      </c>
      <c r="C34" s="880" t="s">
        <v>590</v>
      </c>
      <c r="D34" s="881"/>
      <c r="E34" s="879">
        <v>1.5</v>
      </c>
      <c r="F34" s="882" t="s">
        <v>591</v>
      </c>
      <c r="G34" s="883"/>
      <c r="H34" s="875"/>
      <c r="I34" s="875"/>
    </row>
    <row r="35" spans="1:9" s="884" customFormat="1" ht="19.5" customHeight="1">
      <c r="A35" s="3467" t="s">
        <v>186</v>
      </c>
      <c r="B35" s="879" t="s">
        <v>560</v>
      </c>
      <c r="C35" s="880" t="s">
        <v>592</v>
      </c>
      <c r="D35" s="881"/>
      <c r="E35" s="879">
        <v>1</v>
      </c>
      <c r="F35" s="882" t="s">
        <v>593</v>
      </c>
      <c r="G35" s="883"/>
      <c r="H35" s="875"/>
      <c r="I35" s="875"/>
    </row>
    <row r="36" spans="1:9" s="884" customFormat="1" ht="19.5" customHeight="1">
      <c r="A36" s="3467"/>
      <c r="B36" s="3467" t="s">
        <v>563</v>
      </c>
      <c r="C36" s="880" t="s">
        <v>594</v>
      </c>
      <c r="D36" s="881"/>
      <c r="E36" s="879">
        <v>1</v>
      </c>
      <c r="F36" s="882" t="s">
        <v>595</v>
      </c>
      <c r="G36" s="883"/>
      <c r="H36" s="875"/>
      <c r="I36" s="875"/>
    </row>
    <row r="37" spans="1:9" s="884" customFormat="1" ht="19.5" customHeight="1">
      <c r="A37" s="3467"/>
      <c r="B37" s="3467"/>
      <c r="C37" s="880" t="s">
        <v>596</v>
      </c>
      <c r="D37" s="881"/>
      <c r="E37" s="879">
        <v>1.5</v>
      </c>
      <c r="F37" s="882" t="s">
        <v>597</v>
      </c>
      <c r="G37" s="883"/>
      <c r="H37" s="875"/>
      <c r="I37" s="875"/>
    </row>
    <row r="38" spans="1:9" s="884" customFormat="1" ht="19.5" customHeight="1">
      <c r="A38" s="3467"/>
      <c r="B38" s="3467"/>
      <c r="C38" s="880" t="s">
        <v>598</v>
      </c>
      <c r="D38" s="881"/>
      <c r="E38" s="879">
        <v>1</v>
      </c>
      <c r="F38" s="882" t="s">
        <v>599</v>
      </c>
      <c r="G38" s="883"/>
      <c r="H38" s="875"/>
      <c r="I38" s="875"/>
    </row>
    <row r="39" spans="1:9" s="884" customFormat="1" ht="19.5" customHeight="1">
      <c r="A39" s="3467"/>
      <c r="B39" s="3467"/>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467" t="s">
        <v>614</v>
      </c>
      <c r="C61" s="815" t="s">
        <v>615</v>
      </c>
      <c r="D61" s="815" t="s">
        <v>616</v>
      </c>
      <c r="E61" s="892">
        <v>0.5</v>
      </c>
      <c r="F61" s="879">
        <v>80</v>
      </c>
    </row>
    <row r="62" spans="1:8" s="875" customFormat="1" ht="24">
      <c r="A62" s="879">
        <v>2</v>
      </c>
      <c r="B62" s="3467"/>
      <c r="C62" s="815" t="s">
        <v>617</v>
      </c>
      <c r="D62" s="815" t="s">
        <v>618</v>
      </c>
      <c r="E62" s="892">
        <v>0.5</v>
      </c>
      <c r="F62" s="879">
        <v>80</v>
      </c>
    </row>
    <row r="63" spans="1:8" s="875" customFormat="1" ht="36">
      <c r="A63" s="879">
        <v>3</v>
      </c>
      <c r="B63" s="3467"/>
      <c r="C63" s="815" t="s">
        <v>619</v>
      </c>
      <c r="D63" s="815" t="s">
        <v>620</v>
      </c>
      <c r="E63" s="892">
        <v>0.5</v>
      </c>
      <c r="F63" s="879">
        <v>80</v>
      </c>
    </row>
    <row r="64" spans="1:8" s="875" customFormat="1" ht="36">
      <c r="A64" s="879">
        <v>4</v>
      </c>
      <c r="B64" s="3467"/>
      <c r="C64" s="815" t="s">
        <v>621</v>
      </c>
      <c r="D64" s="815" t="s">
        <v>622</v>
      </c>
      <c r="E64" s="892">
        <v>0.4</v>
      </c>
      <c r="F64" s="879">
        <v>60</v>
      </c>
    </row>
    <row r="65" spans="1:6" s="875" customFormat="1" ht="36">
      <c r="A65" s="879">
        <v>5</v>
      </c>
      <c r="B65" s="3467"/>
      <c r="C65" s="815" t="s">
        <v>623</v>
      </c>
      <c r="D65" s="815" t="s">
        <v>624</v>
      </c>
      <c r="E65" s="892">
        <v>0.2</v>
      </c>
      <c r="F65" s="879">
        <v>30</v>
      </c>
    </row>
    <row r="66" spans="1:6" s="875" customFormat="1" ht="36">
      <c r="A66" s="879">
        <v>6</v>
      </c>
      <c r="B66" s="3467"/>
      <c r="C66" s="815" t="s">
        <v>625</v>
      </c>
      <c r="D66" s="815" t="s">
        <v>626</v>
      </c>
      <c r="E66" s="892">
        <v>0.3</v>
      </c>
      <c r="F66" s="879">
        <v>50</v>
      </c>
    </row>
    <row r="67" spans="1:6" s="875" customFormat="1" ht="36">
      <c r="A67" s="879">
        <v>7</v>
      </c>
      <c r="B67" s="3467"/>
      <c r="C67" s="815" t="s">
        <v>627</v>
      </c>
      <c r="D67" s="815" t="s">
        <v>628</v>
      </c>
      <c r="E67" s="892">
        <v>0.2</v>
      </c>
      <c r="F67" s="879">
        <v>30</v>
      </c>
    </row>
    <row r="68" spans="1:6" s="875" customFormat="1" ht="36">
      <c r="A68" s="879">
        <v>8</v>
      </c>
      <c r="B68" s="3467"/>
      <c r="C68" s="815" t="s">
        <v>629</v>
      </c>
      <c r="D68" s="815" t="s">
        <v>630</v>
      </c>
      <c r="E68" s="892">
        <v>0.2</v>
      </c>
      <c r="F68" s="879">
        <v>30</v>
      </c>
    </row>
    <row r="69" spans="1:6" s="875" customFormat="1" ht="36">
      <c r="A69" s="879">
        <v>9</v>
      </c>
      <c r="B69" s="3467"/>
      <c r="C69" s="815" t="s">
        <v>631</v>
      </c>
      <c r="D69" s="815" t="s">
        <v>632</v>
      </c>
      <c r="E69" s="892">
        <v>0.2</v>
      </c>
      <c r="F69" s="879">
        <v>30</v>
      </c>
    </row>
    <row r="70" spans="1:6" s="875" customFormat="1" ht="48">
      <c r="A70" s="879">
        <v>10</v>
      </c>
      <c r="B70" s="3467"/>
      <c r="C70" s="815" t="s">
        <v>633</v>
      </c>
      <c r="D70" s="815" t="s">
        <v>634</v>
      </c>
      <c r="E70" s="892">
        <v>0.2</v>
      </c>
      <c r="F70" s="879">
        <v>30</v>
      </c>
    </row>
    <row r="71" spans="1:6" s="875" customFormat="1" ht="48">
      <c r="A71" s="879">
        <v>11</v>
      </c>
      <c r="B71" s="3467"/>
      <c r="C71" s="815" t="s">
        <v>635</v>
      </c>
      <c r="D71" s="815" t="s">
        <v>636</v>
      </c>
      <c r="E71" s="892">
        <v>0.2</v>
      </c>
      <c r="F71" s="879">
        <v>30</v>
      </c>
    </row>
    <row r="72" spans="1:6" s="875" customFormat="1" ht="36">
      <c r="A72" s="879">
        <v>12</v>
      </c>
      <c r="B72" s="3467"/>
      <c r="C72" s="815" t="s">
        <v>637</v>
      </c>
      <c r="D72" s="815" t="s">
        <v>638</v>
      </c>
      <c r="E72" s="892">
        <v>0.5</v>
      </c>
      <c r="F72" s="879">
        <v>80</v>
      </c>
    </row>
    <row r="73" spans="1:6" s="875" customFormat="1" ht="24">
      <c r="A73" s="879">
        <v>13</v>
      </c>
      <c r="B73" s="3467"/>
      <c r="C73" s="815" t="s">
        <v>639</v>
      </c>
      <c r="D73" s="815" t="s">
        <v>640</v>
      </c>
      <c r="E73" s="892">
        <v>0.4</v>
      </c>
      <c r="F73" s="879">
        <v>60</v>
      </c>
    </row>
    <row r="74" spans="1:6" s="875" customFormat="1" ht="24">
      <c r="A74" s="879">
        <v>14</v>
      </c>
      <c r="B74" s="3467"/>
      <c r="C74" s="815" t="s">
        <v>641</v>
      </c>
      <c r="D74" s="815" t="s">
        <v>642</v>
      </c>
      <c r="E74" s="892">
        <v>0.2</v>
      </c>
      <c r="F74" s="879">
        <v>30</v>
      </c>
    </row>
    <row r="75" spans="1:6" s="875" customFormat="1" ht="24">
      <c r="A75" s="879">
        <v>15</v>
      </c>
      <c r="B75" s="3467"/>
      <c r="C75" s="815" t="s">
        <v>643</v>
      </c>
      <c r="D75" s="815" t="s">
        <v>644</v>
      </c>
      <c r="E75" s="892">
        <v>0.2</v>
      </c>
      <c r="F75" s="879">
        <v>30</v>
      </c>
    </row>
    <row r="76" spans="1:6" s="875" customFormat="1" ht="24">
      <c r="A76" s="879">
        <v>16</v>
      </c>
      <c r="B76" s="3467" t="s">
        <v>645</v>
      </c>
      <c r="C76" s="815" t="s">
        <v>646</v>
      </c>
      <c r="D76" s="815" t="s">
        <v>647</v>
      </c>
      <c r="E76" s="892">
        <v>0.5</v>
      </c>
      <c r="F76" s="879">
        <v>80</v>
      </c>
    </row>
    <row r="77" spans="1:6" s="875" customFormat="1" ht="24">
      <c r="A77" s="879">
        <v>17</v>
      </c>
      <c r="B77" s="3467"/>
      <c r="C77" s="815" t="s">
        <v>648</v>
      </c>
      <c r="D77" s="815" t="s">
        <v>649</v>
      </c>
      <c r="E77" s="892">
        <v>0.5</v>
      </c>
      <c r="F77" s="879">
        <v>80</v>
      </c>
    </row>
    <row r="78" spans="1:6" s="875" customFormat="1" ht="24">
      <c r="A78" s="879">
        <v>18</v>
      </c>
      <c r="B78" s="3467"/>
      <c r="C78" s="815" t="s">
        <v>650</v>
      </c>
      <c r="D78" s="815" t="s">
        <v>651</v>
      </c>
      <c r="E78" s="892">
        <v>0.2</v>
      </c>
      <c r="F78" s="879">
        <v>30</v>
      </c>
    </row>
    <row r="79" spans="1:6" s="875" customFormat="1" ht="24">
      <c r="A79" s="879">
        <v>19</v>
      </c>
      <c r="B79" s="3467"/>
      <c r="C79" s="815" t="s">
        <v>652</v>
      </c>
      <c r="D79" s="815" t="s">
        <v>653</v>
      </c>
      <c r="E79" s="892">
        <v>0.5</v>
      </c>
      <c r="F79" s="879">
        <v>80</v>
      </c>
    </row>
    <row r="80" spans="1:6" s="875" customFormat="1" ht="36">
      <c r="A80" s="879">
        <v>20</v>
      </c>
      <c r="B80" s="3467"/>
      <c r="C80" s="815" t="s">
        <v>654</v>
      </c>
      <c r="D80" s="815" t="s">
        <v>655</v>
      </c>
      <c r="E80" s="892">
        <v>0.2</v>
      </c>
      <c r="F80" s="879">
        <v>30</v>
      </c>
    </row>
    <row r="81" spans="1:6" s="875" customFormat="1" ht="36">
      <c r="A81" s="879">
        <v>21</v>
      </c>
      <c r="B81" s="3467"/>
      <c r="C81" s="815" t="s">
        <v>656</v>
      </c>
      <c r="D81" s="815" t="s">
        <v>657</v>
      </c>
      <c r="E81" s="892">
        <v>0.2</v>
      </c>
      <c r="F81" s="879">
        <v>30</v>
      </c>
    </row>
    <row r="82" spans="1:6" s="875" customFormat="1" ht="48">
      <c r="A82" s="879">
        <v>22</v>
      </c>
      <c r="B82" s="3467"/>
      <c r="C82" s="815" t="s">
        <v>658</v>
      </c>
      <c r="D82" s="815" t="s">
        <v>659</v>
      </c>
      <c r="E82" s="892">
        <v>0.2</v>
      </c>
      <c r="F82" s="879">
        <v>30</v>
      </c>
    </row>
    <row r="83" spans="1:6" s="875" customFormat="1" ht="48">
      <c r="A83" s="879">
        <v>23</v>
      </c>
      <c r="B83" s="3467"/>
      <c r="C83" s="815" t="s">
        <v>660</v>
      </c>
      <c r="D83" s="815" t="s">
        <v>661</v>
      </c>
      <c r="E83" s="892">
        <v>0.2</v>
      </c>
      <c r="F83" s="879">
        <v>30</v>
      </c>
    </row>
    <row r="84" spans="1:6" s="875" customFormat="1" ht="36">
      <c r="A84" s="879">
        <v>24</v>
      </c>
      <c r="B84" s="3467"/>
      <c r="C84" s="815" t="s">
        <v>662</v>
      </c>
      <c r="D84" s="815" t="s">
        <v>663</v>
      </c>
      <c r="E84" s="892">
        <v>0.2</v>
      </c>
      <c r="F84" s="879">
        <v>30</v>
      </c>
    </row>
    <row r="85" spans="1:6" s="875" customFormat="1" ht="36">
      <c r="A85" s="879">
        <v>25</v>
      </c>
      <c r="B85" s="3467"/>
      <c r="C85" s="815" t="s">
        <v>664</v>
      </c>
      <c r="D85" s="815" t="s">
        <v>665</v>
      </c>
      <c r="E85" s="892">
        <v>0.5</v>
      </c>
      <c r="F85" s="879">
        <v>80</v>
      </c>
    </row>
    <row r="86" spans="1:6" s="875" customFormat="1" ht="36">
      <c r="A86" s="879">
        <v>26</v>
      </c>
      <c r="B86" s="3467"/>
      <c r="C86" s="815" t="s">
        <v>666</v>
      </c>
      <c r="D86" s="815" t="s">
        <v>667</v>
      </c>
      <c r="E86" s="892">
        <v>0.2</v>
      </c>
      <c r="F86" s="879">
        <v>30</v>
      </c>
    </row>
    <row r="87" spans="1:6" s="875" customFormat="1" ht="36">
      <c r="A87" s="879">
        <v>27</v>
      </c>
      <c r="B87" s="3467"/>
      <c r="C87" s="815" t="s">
        <v>668</v>
      </c>
      <c r="D87" s="815" t="s">
        <v>669</v>
      </c>
      <c r="E87" s="892">
        <v>0.2</v>
      </c>
      <c r="F87" s="879">
        <v>30</v>
      </c>
    </row>
    <row r="88" spans="1:6" s="875" customFormat="1" ht="36">
      <c r="A88" s="879">
        <v>28</v>
      </c>
      <c r="B88" s="3467"/>
      <c r="C88" s="815" t="s">
        <v>670</v>
      </c>
      <c r="D88" s="815" t="s">
        <v>671</v>
      </c>
      <c r="E88" s="892">
        <v>0.2</v>
      </c>
      <c r="F88" s="879">
        <v>30</v>
      </c>
    </row>
    <row r="89" spans="1:6" s="875" customFormat="1" ht="24">
      <c r="A89" s="879">
        <v>29</v>
      </c>
      <c r="B89" s="3467"/>
      <c r="C89" s="815" t="s">
        <v>672</v>
      </c>
      <c r="D89" s="815" t="s">
        <v>673</v>
      </c>
      <c r="E89" s="892">
        <v>0.2</v>
      </c>
      <c r="F89" s="879">
        <v>30</v>
      </c>
    </row>
    <row r="90" spans="1:6" s="875" customFormat="1" ht="24">
      <c r="A90" s="879">
        <v>30</v>
      </c>
      <c r="B90" s="3467"/>
      <c r="C90" s="815" t="s">
        <v>674</v>
      </c>
      <c r="D90" s="815" t="s">
        <v>675</v>
      </c>
      <c r="E90" s="892">
        <v>0.2</v>
      </c>
      <c r="F90" s="879">
        <v>30</v>
      </c>
    </row>
    <row r="91" spans="1:6" s="875" customFormat="1" ht="36">
      <c r="A91" s="879">
        <v>31</v>
      </c>
      <c r="B91" s="3467"/>
      <c r="C91" s="815" t="s">
        <v>676</v>
      </c>
      <c r="D91" s="815" t="s">
        <v>677</v>
      </c>
      <c r="E91" s="892">
        <v>0.2</v>
      </c>
      <c r="F91" s="879">
        <v>30</v>
      </c>
    </row>
    <row r="92" spans="1:6" s="875" customFormat="1" ht="24">
      <c r="A92" s="879">
        <v>32</v>
      </c>
      <c r="B92" s="3467" t="s">
        <v>678</v>
      </c>
      <c r="C92" s="879" t="s">
        <v>679</v>
      </c>
      <c r="D92" s="815" t="s">
        <v>680</v>
      </c>
      <c r="E92" s="892">
        <v>0.2</v>
      </c>
      <c r="F92" s="879">
        <v>30</v>
      </c>
    </row>
    <row r="93" spans="1:6" s="875" customFormat="1" ht="36">
      <c r="A93" s="879">
        <v>33</v>
      </c>
      <c r="B93" s="3467"/>
      <c r="C93" s="879" t="s">
        <v>681</v>
      </c>
      <c r="D93" s="815" t="s">
        <v>682</v>
      </c>
      <c r="E93" s="892">
        <v>0.2</v>
      </c>
      <c r="F93" s="879">
        <v>30</v>
      </c>
    </row>
    <row r="94" spans="1:6" s="875" customFormat="1" ht="48">
      <c r="A94" s="879">
        <v>34</v>
      </c>
      <c r="B94" s="3467"/>
      <c r="C94" s="879" t="s">
        <v>683</v>
      </c>
      <c r="D94" s="815" t="s">
        <v>684</v>
      </c>
      <c r="E94" s="892">
        <v>0.2</v>
      </c>
      <c r="F94" s="879">
        <v>30</v>
      </c>
    </row>
    <row r="95" spans="1:6" s="875" customFormat="1" ht="36">
      <c r="A95" s="879">
        <v>35</v>
      </c>
      <c r="B95" s="3467"/>
      <c r="C95" s="879" t="s">
        <v>685</v>
      </c>
      <c r="D95" s="815" t="s">
        <v>686</v>
      </c>
      <c r="E95" s="892">
        <v>0.2</v>
      </c>
      <c r="F95" s="879">
        <v>30</v>
      </c>
    </row>
    <row r="96" spans="1:6" s="875" customFormat="1" ht="48">
      <c r="A96" s="879">
        <v>36</v>
      </c>
      <c r="B96" s="3467"/>
      <c r="C96" s="815" t="s">
        <v>687</v>
      </c>
      <c r="D96" s="815" t="s">
        <v>688</v>
      </c>
      <c r="E96" s="892">
        <v>0.2</v>
      </c>
      <c r="F96" s="879">
        <v>30</v>
      </c>
    </row>
    <row r="97" spans="1:6" s="875" customFormat="1" ht="36">
      <c r="A97" s="879">
        <v>37</v>
      </c>
      <c r="B97" s="3467"/>
      <c r="C97" s="879" t="s">
        <v>689</v>
      </c>
      <c r="D97" s="815" t="s">
        <v>690</v>
      </c>
      <c r="E97" s="892">
        <v>0.2</v>
      </c>
      <c r="F97" s="879">
        <v>30</v>
      </c>
    </row>
    <row r="98" spans="1:6" s="875" customFormat="1" ht="36">
      <c r="A98" s="879">
        <v>38</v>
      </c>
      <c r="B98" s="3467"/>
      <c r="C98" s="879" t="s">
        <v>691</v>
      </c>
      <c r="D98" s="815" t="s">
        <v>692</v>
      </c>
      <c r="E98" s="892">
        <v>0.2</v>
      </c>
      <c r="F98" s="879">
        <v>30</v>
      </c>
    </row>
    <row r="99" spans="1:6" s="875" customFormat="1" ht="36">
      <c r="A99" s="879">
        <v>39</v>
      </c>
      <c r="B99" s="3467" t="s">
        <v>693</v>
      </c>
      <c r="C99" s="879" t="s">
        <v>694</v>
      </c>
      <c r="D99" s="815" t="s">
        <v>695</v>
      </c>
      <c r="E99" s="892">
        <v>0.3</v>
      </c>
      <c r="F99" s="879">
        <v>50</v>
      </c>
    </row>
    <row r="100" spans="1:6" s="875" customFormat="1" ht="24">
      <c r="A100" s="879">
        <v>40</v>
      </c>
      <c r="B100" s="3467"/>
      <c r="C100" s="879" t="s">
        <v>696</v>
      </c>
      <c r="D100" s="815" t="s">
        <v>697</v>
      </c>
      <c r="E100" s="892">
        <v>0.2</v>
      </c>
      <c r="F100" s="879">
        <v>30</v>
      </c>
    </row>
    <row r="101" spans="1:6" s="875" customFormat="1" ht="36">
      <c r="A101" s="879">
        <v>41</v>
      </c>
      <c r="B101" s="3467"/>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467" t="s">
        <v>708</v>
      </c>
      <c r="C105" s="879" t="s">
        <v>709</v>
      </c>
      <c r="D105" s="815" t="s">
        <v>710</v>
      </c>
      <c r="E105" s="892">
        <v>0.2</v>
      </c>
      <c r="F105" s="879">
        <v>30</v>
      </c>
    </row>
    <row r="106" spans="1:6" s="875" customFormat="1" ht="36">
      <c r="A106" s="879">
        <v>46</v>
      </c>
      <c r="B106" s="3467"/>
      <c r="C106" s="879" t="s">
        <v>711</v>
      </c>
      <c r="D106" s="815" t="s">
        <v>712</v>
      </c>
      <c r="E106" s="892">
        <v>0.2</v>
      </c>
      <c r="F106" s="879">
        <v>30</v>
      </c>
    </row>
    <row r="107" spans="1:6" s="875" customFormat="1" ht="36">
      <c r="A107" s="879">
        <v>47</v>
      </c>
      <c r="B107" s="3467" t="s">
        <v>713</v>
      </c>
      <c r="C107" s="879" t="s">
        <v>714</v>
      </c>
      <c r="D107" s="815" t="s">
        <v>715</v>
      </c>
      <c r="E107" s="892">
        <v>0.3</v>
      </c>
      <c r="F107" s="879">
        <v>50</v>
      </c>
    </row>
    <row r="108" spans="1:6" s="875" customFormat="1" ht="36">
      <c r="A108" s="879">
        <v>48</v>
      </c>
      <c r="B108" s="3467"/>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467" t="s">
        <v>724</v>
      </c>
      <c r="C111" s="879" t="s">
        <v>725</v>
      </c>
      <c r="D111" s="815" t="s">
        <v>726</v>
      </c>
      <c r="E111" s="892">
        <v>0.2</v>
      </c>
      <c r="F111" s="879">
        <v>30</v>
      </c>
    </row>
    <row r="112" spans="1:6" s="875" customFormat="1" ht="24">
      <c r="A112" s="879">
        <v>52</v>
      </c>
      <c r="B112" s="3467"/>
      <c r="C112" s="879" t="s">
        <v>727</v>
      </c>
      <c r="D112" s="815" t="s">
        <v>728</v>
      </c>
      <c r="E112" s="892">
        <v>0.2</v>
      </c>
      <c r="F112" s="879">
        <v>30</v>
      </c>
    </row>
    <row r="113" spans="1:6" s="875" customFormat="1" ht="24">
      <c r="A113" s="879">
        <v>53</v>
      </c>
      <c r="B113" s="3467"/>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467" t="s">
        <v>737</v>
      </c>
      <c r="C116" s="879" t="s">
        <v>738</v>
      </c>
      <c r="D116" s="815" t="s">
        <v>739</v>
      </c>
      <c r="E116" s="892">
        <v>0.2</v>
      </c>
      <c r="F116" s="879">
        <v>30</v>
      </c>
    </row>
    <row r="117" spans="1:6" ht="36">
      <c r="A117" s="879">
        <v>57</v>
      </c>
      <c r="B117" s="3467"/>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19" sqref="C19"/>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0" t="s">
        <v>2997</v>
      </c>
    </row>
    <row r="2" spans="1:5" ht="15.75">
      <c r="A2" s="2909" t="s">
        <v>2989</v>
      </c>
      <c r="B2" s="2910" t="e">
        <f ca="1">SUMIF(B6:B13,"&lt;&gt;#ref!",B6:B13)</f>
        <v>#DIV/0!</v>
      </c>
      <c r="C2" s="2909" t="s">
        <v>2990</v>
      </c>
      <c r="D2" s="2909" t="s">
        <v>2991</v>
      </c>
      <c r="E2" s="2910">
        <f ca="1">SUMIF(E6:E13,"&lt;&gt;#ref!",E6:E13)</f>
        <v>0</v>
      </c>
    </row>
    <row r="3" spans="1:5" ht="15.75">
      <c r="A3" s="2909" t="s">
        <v>2992</v>
      </c>
      <c r="B3" s="2910" t="e">
        <f ca="1">ROUND(B2*10000/E2,0)</f>
        <v>#DIV/0!</v>
      </c>
      <c r="C3" s="2909" t="s">
        <v>2998</v>
      </c>
      <c r="D3" s="2911"/>
      <c r="E3" s="2911"/>
    </row>
    <row r="4" spans="1:5" ht="15.75">
      <c r="A4" s="2912"/>
      <c r="B4" s="2911"/>
      <c r="C4" s="2911"/>
      <c r="D4" s="2911"/>
      <c r="E4" s="2911"/>
    </row>
    <row r="5" spans="1:5" ht="28.5">
      <c r="A5" s="2913" t="s">
        <v>2993</v>
      </c>
      <c r="B5" s="2909" t="s">
        <v>2994</v>
      </c>
      <c r="C5" s="2910"/>
      <c r="D5" s="2911"/>
      <c r="E5" s="2909" t="s">
        <v>2995</v>
      </c>
    </row>
    <row r="6" spans="1:5" ht="15.75">
      <c r="A6" s="2914" t="s">
        <v>2996</v>
      </c>
      <c r="B6" s="2910" t="e">
        <f ca="1">SUMIF(INDIRECT("'"&amp;A6&amp;"'"&amp;"!A:A"),"总价",INDIRECT("'"&amp;A6&amp;"'"&amp;"!B:B"))</f>
        <v>#DIV/0!</v>
      </c>
      <c r="C6" s="2909" t="s">
        <v>2990</v>
      </c>
      <c r="D6" s="2911"/>
      <c r="E6" s="2574">
        <f ca="1">SUMIF(INDIRECT("'"&amp;A6&amp;"'"&amp;"!C:C"),"建筑面积",INDIRECT("'"&amp;A6&amp;"'"&amp;"!D:D"))</f>
        <v>0</v>
      </c>
    </row>
    <row r="7" spans="1:5" ht="15.75">
      <c r="A7" s="2914"/>
      <c r="B7" s="2910" t="e">
        <f ca="1">SUMIF(INDIRECT("'"&amp;A7&amp;"'"&amp;"!A:A"),"总价",INDIRECT("'"&amp;A7&amp;"'"&amp;"!B:B"))</f>
        <v>#REF!</v>
      </c>
      <c r="C7" s="2909" t="s">
        <v>2990</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2990</v>
      </c>
      <c r="D8" s="2911"/>
      <c r="E8" s="2574" t="e">
        <f t="shared" ca="1" si="0"/>
        <v>#REF!</v>
      </c>
    </row>
    <row r="9" spans="1:5" ht="15.75">
      <c r="A9" s="2914"/>
      <c r="B9" s="2910" t="e">
        <f t="shared" ca="1" si="1"/>
        <v>#REF!</v>
      </c>
      <c r="C9" s="2909" t="s">
        <v>2990</v>
      </c>
      <c r="D9" s="2911"/>
      <c r="E9" s="2574" t="e">
        <f t="shared" ca="1" si="0"/>
        <v>#REF!</v>
      </c>
    </row>
    <row r="10" spans="1:5" ht="15.75">
      <c r="A10" s="2914"/>
      <c r="B10" s="2910" t="e">
        <f t="shared" ca="1" si="1"/>
        <v>#REF!</v>
      </c>
      <c r="C10" s="2909" t="s">
        <v>2990</v>
      </c>
      <c r="D10" s="2911"/>
      <c r="E10" s="2574" t="e">
        <f t="shared" ca="1" si="0"/>
        <v>#REF!</v>
      </c>
    </row>
    <row r="11" spans="1:5" ht="15.75">
      <c r="A11" s="2914"/>
      <c r="B11" s="2910" t="e">
        <f t="shared" ca="1" si="1"/>
        <v>#REF!</v>
      </c>
      <c r="C11" s="2909" t="s">
        <v>2990</v>
      </c>
      <c r="D11" s="2911"/>
      <c r="E11" s="2574" t="e">
        <f t="shared" ca="1" si="0"/>
        <v>#REF!</v>
      </c>
    </row>
    <row r="12" spans="1:5" ht="15.75">
      <c r="A12" s="2914"/>
      <c r="B12" s="2910" t="e">
        <f t="shared" ca="1" si="1"/>
        <v>#REF!</v>
      </c>
      <c r="C12" s="2909" t="s">
        <v>2990</v>
      </c>
      <c r="D12" s="2911"/>
      <c r="E12" s="2574" t="e">
        <f t="shared" ca="1" si="0"/>
        <v>#REF!</v>
      </c>
    </row>
    <row r="13" spans="1:5" ht="15.75">
      <c r="A13" s="2914"/>
      <c r="B13" s="2910" t="e">
        <f t="shared" ca="1" si="1"/>
        <v>#REF!</v>
      </c>
      <c r="C13" s="2909" t="s">
        <v>2990</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C19" sqref="C19"/>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473" t="s">
        <v>1146</v>
      </c>
      <c r="C1" s="3473"/>
      <c r="D1" s="3473"/>
      <c r="E1" s="3473"/>
      <c r="F1" s="3473"/>
      <c r="G1" s="3469" t="s">
        <v>1147</v>
      </c>
      <c r="H1" s="3469"/>
      <c r="I1" s="3469"/>
      <c r="J1" s="3469"/>
      <c r="K1" s="3469"/>
      <c r="L1" s="3469"/>
      <c r="N1" s="3469" t="s">
        <v>1148</v>
      </c>
      <c r="O1" s="3469"/>
      <c r="P1" s="3469"/>
      <c r="Q1" s="3469"/>
      <c r="R1" s="1446"/>
      <c r="S1" s="3469" t="s">
        <v>1149</v>
      </c>
      <c r="T1" s="3469"/>
      <c r="U1" s="3469"/>
      <c r="V1" s="3469"/>
      <c r="X1" s="3468" t="s">
        <v>1150</v>
      </c>
      <c r="Y1" s="3469"/>
      <c r="Z1" s="3469"/>
      <c r="AA1" s="3469"/>
      <c r="AB1" s="3469"/>
      <c r="AD1" s="3468" t="s">
        <v>1151</v>
      </c>
      <c r="AE1" s="3469"/>
      <c r="AF1" s="3469"/>
      <c r="AG1" s="3469"/>
      <c r="AH1" s="3469"/>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25" customFormat="1" ht="14.25">
      <c r="A3" s="2934" t="s">
        <v>3032</v>
      </c>
      <c r="B3" s="2926"/>
      <c r="C3" s="2926"/>
      <c r="D3" s="2927"/>
      <c r="E3" s="2927"/>
      <c r="F3" s="2926"/>
      <c r="G3" s="2928"/>
      <c r="H3" s="2929"/>
      <c r="I3" s="2930">
        <f>ROUND(AVERAGE($I4:$I25),2)</f>
        <v>2.13</v>
      </c>
      <c r="J3" s="2930">
        <f>ROUND(AVERAGE($J4:$J25),2)</f>
        <v>1.51</v>
      </c>
      <c r="K3" s="2930">
        <f>ROUND(AVERAGE($K4:$K25),2)</f>
        <v>2.34</v>
      </c>
      <c r="L3" s="2930">
        <f>ROUND(AVERAGE($L4:$L25),2)</f>
        <v>1.42</v>
      </c>
      <c r="N3" s="2928"/>
      <c r="O3" s="2931"/>
      <c r="P3" s="2931"/>
      <c r="Q3" s="2931"/>
      <c r="R3" s="2931"/>
      <c r="S3" s="2928"/>
      <c r="T3" s="2931"/>
      <c r="U3" s="2931"/>
      <c r="V3" s="2931"/>
      <c r="W3" s="2923"/>
      <c r="X3" s="2932">
        <f>ROUND(SUMPRODUCT(PRODUCT(1+N3:N$24)),4)</f>
        <v>1.5099</v>
      </c>
      <c r="Y3" s="2932">
        <f>ROUND(SUMPRODUCT(PRODUCT(1+O3:O$24)),4)</f>
        <v>1.3372999999999999</v>
      </c>
      <c r="Z3" s="2932">
        <f t="shared" ref="Z3:Z22" si="0">Y3</f>
        <v>1.3372999999999999</v>
      </c>
      <c r="AA3" s="2932">
        <f>ROUND(SUMPRODUCT(PRODUCT(1+P3:P$24)),4)</f>
        <v>1.5683</v>
      </c>
      <c r="AB3" s="2932">
        <f>ROUND(SUMPRODUCT(PRODUCT(1+Q3:Q$24)),4)</f>
        <v>1.3255999999999999</v>
      </c>
      <c r="AD3" s="2933">
        <f>ROUND(AVERAGE(I3:I$25)/100,4)</f>
        <v>2.1299999999999999E-2</v>
      </c>
      <c r="AE3" s="2933">
        <f>ROUND(AVERAGE(J3:J$25)/100,4)</f>
        <v>1.5100000000000001E-2</v>
      </c>
      <c r="AF3" s="2933">
        <f t="shared" ref="AF3:AF23" si="1">AE3</f>
        <v>1.5100000000000001E-2</v>
      </c>
      <c r="AG3" s="2933">
        <f>ROUND(AVERAGE(K3:K$25)/100,4)</f>
        <v>2.3400000000000001E-2</v>
      </c>
      <c r="AH3" s="2933">
        <f>ROUND(AVERAGE(L3:L$25)/100,4)</f>
        <v>1.4200000000000001E-2</v>
      </c>
    </row>
    <row r="4" spans="1:34" s="1453" customFormat="1" ht="14.25">
      <c r="B4" s="1454"/>
      <c r="C4" s="1454"/>
      <c r="D4" s="1455"/>
      <c r="E4" s="1455"/>
      <c r="F4" s="1454"/>
      <c r="G4" s="1456"/>
      <c r="H4" s="1457"/>
      <c r="I4" s="2920"/>
      <c r="J4" s="2920"/>
      <c r="K4" s="2920"/>
      <c r="L4" s="2920"/>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3045</v>
      </c>
      <c r="B5" s="1791">
        <f t="shared" ref="B5" si="2">B6*(1+N5)</f>
        <v>464.37293017158942</v>
      </c>
      <c r="C5" s="1791">
        <f t="shared" ref="C5" si="3">C6*(1+O5)</f>
        <v>344.73679941385956</v>
      </c>
      <c r="D5" s="1791">
        <f t="shared" ref="D5" si="4">C5</f>
        <v>344.73679941385956</v>
      </c>
      <c r="E5" s="1791">
        <f t="shared" ref="E5" si="5">E6*(1+P5)</f>
        <v>663.2377795103107</v>
      </c>
      <c r="F5" s="1791">
        <f t="shared" ref="F5" si="6">F6*(1+Q5)</f>
        <v>304.75936311478398</v>
      </c>
      <c r="G5" s="2938">
        <v>2019</v>
      </c>
      <c r="H5" s="1730">
        <v>1</v>
      </c>
      <c r="I5" s="2921">
        <v>0</v>
      </c>
      <c r="J5" s="2921">
        <v>0</v>
      </c>
      <c r="K5" s="2921">
        <v>0</v>
      </c>
      <c r="L5" s="2921">
        <v>0</v>
      </c>
      <c r="N5" s="1467">
        <f>I5/100</f>
        <v>0</v>
      </c>
      <c r="O5" s="1467">
        <f t="shared" ref="O5" si="7">J5/100</f>
        <v>0</v>
      </c>
      <c r="P5" s="1467">
        <f t="shared" ref="P5" si="8">K5/100</f>
        <v>0</v>
      </c>
      <c r="Q5" s="1467">
        <f t="shared" ref="Q5" si="9">L5/100</f>
        <v>0</v>
      </c>
      <c r="R5" s="1732"/>
      <c r="S5" s="1733"/>
      <c r="T5" s="1732"/>
      <c r="U5" s="1732"/>
      <c r="V5" s="1732"/>
      <c r="W5" s="2924" t="s">
        <v>3033</v>
      </c>
      <c r="X5" s="1726">
        <f>ROUND(IF(项目基本情况!B8="出让",SUMPRODUCT(PRODUCT(1+N5:N$25)),SUMPRODUCT(PRODUCT(1+N5:N$24))),4)</f>
        <v>1.5099</v>
      </c>
      <c r="Y5" s="1726">
        <f>ROUND(IF(项目基本情况!B8="出让",SUMPRODUCT(PRODUCT(1+O5:O$25)),SUMPRODUCT(PRODUCT(1+O5:O$24))),4)</f>
        <v>1.3372999999999999</v>
      </c>
      <c r="Z5" s="1726">
        <f t="shared" ref="Z5" si="10">Y5</f>
        <v>1.3372999999999999</v>
      </c>
      <c r="AA5" s="1726">
        <f>ROUND(IF(项目基本情况!B8="出让",SUMPRODUCT(PRODUCT(1+P5:P$25)),SUMPRODUCT(PRODUCT(1+P5:P$24))),4)</f>
        <v>1.5683</v>
      </c>
      <c r="AB5" s="1726">
        <f>ROUND(IF(项目基本情况!B8="出让",SUMPRODUCT(PRODUCT(1+Q5:Q$25)),SUMPRODUCT(PRODUCT(1+Q5:Q$24))),4)</f>
        <v>1.3255999999999999</v>
      </c>
      <c r="AD5" s="1468">
        <f>ROUND(AVERAGE(I5:I$25)/100,4)</f>
        <v>2.1299999999999999E-2</v>
      </c>
      <c r="AE5" s="1468">
        <f>ROUND(AVERAGE(J5:J$25)/100,4)</f>
        <v>1.5100000000000001E-2</v>
      </c>
      <c r="AF5" s="1468">
        <f t="shared" ref="AF5" si="11">AE5</f>
        <v>1.5100000000000001E-2</v>
      </c>
      <c r="AG5" s="1468">
        <f>ROUND(AVERAGE(K5:K$25)/100,4)</f>
        <v>2.3400000000000001E-2</v>
      </c>
      <c r="AH5" s="1468">
        <f>ROUND(AVERAGE(L5:L$25)/100,4)</f>
        <v>1.4200000000000001E-2</v>
      </c>
    </row>
    <row r="6" spans="1:34" s="1466" customFormat="1">
      <c r="A6" s="1461" t="s">
        <v>3046</v>
      </c>
      <c r="B6" s="1477">
        <f t="shared" ref="B6" si="12">B7*(1+N6)</f>
        <v>464.37293017158942</v>
      </c>
      <c r="C6" s="1477">
        <f t="shared" ref="C6" si="13">C7*(1+O6)</f>
        <v>344.73679941385956</v>
      </c>
      <c r="D6" s="1477">
        <f t="shared" ref="D6" si="14">C6</f>
        <v>344.73679941385956</v>
      </c>
      <c r="E6" s="1477">
        <f t="shared" ref="E6" si="15">E7*(1+P6)</f>
        <v>663.2377795103107</v>
      </c>
      <c r="F6" s="1477">
        <f t="shared" ref="F6" si="16">F7*(1+Q6)</f>
        <v>304.75936311478398</v>
      </c>
      <c r="G6" s="3471">
        <v>2018</v>
      </c>
      <c r="H6" s="1464">
        <v>4</v>
      </c>
      <c r="I6" s="2948">
        <v>0.96</v>
      </c>
      <c r="J6" s="2948">
        <v>1.03</v>
      </c>
      <c r="K6" s="2948">
        <v>0.92</v>
      </c>
      <c r="L6" s="2949">
        <v>1.29</v>
      </c>
      <c r="M6" s="1471"/>
      <c r="N6" s="1472">
        <f>I6/100</f>
        <v>9.5999999999999992E-3</v>
      </c>
      <c r="O6" s="1473">
        <f t="shared" ref="O6" si="17">J6/100</f>
        <v>1.03E-2</v>
      </c>
      <c r="P6" s="1473">
        <f t="shared" ref="P6" si="18">K6/100</f>
        <v>9.1999999999999998E-3</v>
      </c>
      <c r="Q6" s="1473">
        <f t="shared" ref="Q6" si="19">L6/100</f>
        <v>1.29E-2</v>
      </c>
      <c r="R6" s="1474"/>
      <c r="S6" s="1472"/>
      <c r="T6" s="1473"/>
      <c r="U6" s="1473"/>
      <c r="V6" s="1473"/>
      <c r="W6" s="1790"/>
      <c r="X6" s="1788">
        <f>ROUND(SUMPRODUCT(PRODUCT(1+N6:N$24)),4)</f>
        <v>1.5099</v>
      </c>
      <c r="Y6" s="1788">
        <f>ROUND(SUMPRODUCT(PRODUCT(1+O6:O$24)),4)</f>
        <v>1.3372999999999999</v>
      </c>
      <c r="Z6" s="1788">
        <f t="shared" ref="Z6" si="20">Y6</f>
        <v>1.3372999999999999</v>
      </c>
      <c r="AA6" s="1788">
        <f>ROUND(SUMPRODUCT(PRODUCT(1+P6:P$24)),4)</f>
        <v>1.5683</v>
      </c>
      <c r="AB6" s="1788">
        <f>ROUND(SUMPRODUCT(PRODUCT(1+Q6:Q$24)),4)</f>
        <v>1.3255999999999999</v>
      </c>
      <c r="AC6" s="1790"/>
      <c r="AD6" s="1789">
        <f>ROUND(AVERAGE(I6:I$25)/100,4)</f>
        <v>2.24E-2</v>
      </c>
      <c r="AE6" s="1789">
        <f>ROUND(AVERAGE(J6:J$25)/100,4)</f>
        <v>1.5800000000000002E-2</v>
      </c>
      <c r="AF6" s="1789">
        <f t="shared" ref="AF6" si="21">AE6</f>
        <v>1.5800000000000002E-2</v>
      </c>
      <c r="AG6" s="1789">
        <f>ROUND(AVERAGE(K6:K$25)/100,4)</f>
        <v>2.4500000000000001E-2</v>
      </c>
      <c r="AH6" s="1789">
        <f>ROUND(AVERAGE(L6:L$25)/100,4)</f>
        <v>1.49E-2</v>
      </c>
    </row>
    <row r="7" spans="1:34" s="1466" customFormat="1" ht="14.45" customHeight="1">
      <c r="A7" s="1461" t="s">
        <v>3039</v>
      </c>
      <c r="B7" s="1477">
        <f t="shared" ref="B7" si="22">B8*(1+N7)</f>
        <v>459.95733971036987</v>
      </c>
      <c r="C7" s="1477">
        <f t="shared" ref="C7" si="23">C8*(1+O7)</f>
        <v>341.22221064422405</v>
      </c>
      <c r="D7" s="1477">
        <f t="shared" ref="D7" si="24">C7</f>
        <v>341.22221064422405</v>
      </c>
      <c r="E7" s="1477">
        <f t="shared" ref="E7" si="25">E8*(1+P7)</f>
        <v>657.19161663724799</v>
      </c>
      <c r="F7" s="1477">
        <f t="shared" ref="F7" si="26">F8*(1+Q7)</f>
        <v>300.87803644464805</v>
      </c>
      <c r="G7" s="3471"/>
      <c r="H7" s="1464">
        <v>3</v>
      </c>
      <c r="I7" s="1464">
        <v>1.51</v>
      </c>
      <c r="J7" s="1464">
        <v>1.41</v>
      </c>
      <c r="K7" s="1464">
        <v>1.52</v>
      </c>
      <c r="L7" s="1478">
        <v>1.74</v>
      </c>
      <c r="M7" s="1471"/>
      <c r="N7" s="1472">
        <f>I7/100</f>
        <v>1.5100000000000001E-2</v>
      </c>
      <c r="O7" s="1473">
        <f t="shared" ref="O7" si="27">J7/100</f>
        <v>1.41E-2</v>
      </c>
      <c r="P7" s="1473">
        <f t="shared" ref="P7" si="28">K7/100</f>
        <v>1.52E-2</v>
      </c>
      <c r="Q7" s="1473">
        <f t="shared" ref="Q7" si="29">L7/100</f>
        <v>1.7399999999999999E-2</v>
      </c>
      <c r="R7" s="1474"/>
      <c r="S7" s="1472"/>
      <c r="T7" s="1473"/>
      <c r="U7" s="1473"/>
      <c r="V7" s="1473"/>
      <c r="W7" s="1790"/>
      <c r="X7" s="1788">
        <f>ROUND(SUMPRODUCT(PRODUCT(1+N7:N$24)),4)</f>
        <v>1.4956</v>
      </c>
      <c r="Y7" s="1788">
        <f>ROUND(SUMPRODUCT(PRODUCT(1+O7:O$24)),4)</f>
        <v>1.3237000000000001</v>
      </c>
      <c r="Z7" s="1788">
        <f t="shared" ref="Z7" si="30">Y7</f>
        <v>1.3237000000000001</v>
      </c>
      <c r="AA7" s="1788">
        <f>ROUND(SUMPRODUCT(PRODUCT(1+P7:P$24)),4)</f>
        <v>1.554</v>
      </c>
      <c r="AB7" s="1788">
        <f>ROUND(SUMPRODUCT(PRODUCT(1+Q7:Q$24)),4)</f>
        <v>1.3087</v>
      </c>
      <c r="AC7" s="1790"/>
      <c r="AD7" s="1789">
        <f>ROUND(AVERAGE(I7:I$25)/100,4)</f>
        <v>2.3099999999999999E-2</v>
      </c>
      <c r="AE7" s="1789">
        <f>ROUND(AVERAGE(J7:J$25)/100,4)</f>
        <v>1.61E-2</v>
      </c>
      <c r="AF7" s="1789">
        <f t="shared" ref="AF7" si="31">AE7</f>
        <v>1.61E-2</v>
      </c>
      <c r="AG7" s="1789">
        <f>ROUND(AVERAGE(K7:K$25)/100,4)</f>
        <v>2.53E-2</v>
      </c>
      <c r="AH7" s="1789">
        <f>ROUND(AVERAGE(L7:L$25)/100,4)</f>
        <v>1.4999999999999999E-2</v>
      </c>
    </row>
    <row r="8" spans="1:34" s="1466" customFormat="1" ht="14.45" customHeight="1">
      <c r="A8" s="1461" t="s">
        <v>3038</v>
      </c>
      <c r="B8" s="1477">
        <f t="shared" ref="B8" si="32">B9*(1+N8)</f>
        <v>453.11529869999993</v>
      </c>
      <c r="C8" s="1477">
        <f t="shared" ref="C8" si="33">C9*(1+O8)</f>
        <v>336.47787264000004</v>
      </c>
      <c r="D8" s="1477">
        <f t="shared" ref="D8" si="34">C8</f>
        <v>336.47787264000004</v>
      </c>
      <c r="E8" s="1477">
        <f t="shared" ref="E8" si="35">E9*(1+P8)</f>
        <v>647.35186823999993</v>
      </c>
      <c r="F8" s="1477">
        <f t="shared" ref="F8" si="36">F9*(1+Q8)</f>
        <v>295.73229452000004</v>
      </c>
      <c r="G8" s="3471"/>
      <c r="H8" s="1464">
        <v>2</v>
      </c>
      <c r="I8" s="1464">
        <v>1.49</v>
      </c>
      <c r="J8" s="1464">
        <v>0.96</v>
      </c>
      <c r="K8" s="1464">
        <v>1.58</v>
      </c>
      <c r="L8" s="1478">
        <v>2.44</v>
      </c>
      <c r="M8" s="1471"/>
      <c r="N8" s="1472">
        <f t="shared" ref="N8" si="37">I8/100</f>
        <v>1.49E-2</v>
      </c>
      <c r="O8" s="1473">
        <f t="shared" ref="O8" si="38">J8/100</f>
        <v>9.5999999999999992E-3</v>
      </c>
      <c r="P8" s="1473">
        <f t="shared" ref="P8" si="39">K8/100</f>
        <v>1.5800000000000002E-2</v>
      </c>
      <c r="Q8" s="1473">
        <f t="shared" ref="Q8" si="40">L8/100</f>
        <v>2.4399999999999998E-2</v>
      </c>
      <c r="R8" s="1474"/>
      <c r="S8" s="1472"/>
      <c r="T8" s="1473"/>
      <c r="U8" s="1473"/>
      <c r="V8" s="1473"/>
      <c r="W8" s="1790"/>
      <c r="X8" s="1788">
        <f>ROUND(SUMPRODUCT(PRODUCT(1+N8:N$24)),4)</f>
        <v>1.4733000000000001</v>
      </c>
      <c r="Y8" s="1788">
        <f>ROUND(SUMPRODUCT(PRODUCT(1+O8:O$24)),4)</f>
        <v>1.3052999999999999</v>
      </c>
      <c r="Z8" s="1788">
        <f t="shared" ref="Z8" si="41">Y8</f>
        <v>1.3052999999999999</v>
      </c>
      <c r="AA8" s="1788">
        <f>ROUND(SUMPRODUCT(PRODUCT(1+P8:P$24)),4)</f>
        <v>1.5306999999999999</v>
      </c>
      <c r="AB8" s="1788">
        <f>ROUND(SUMPRODUCT(PRODUCT(1+Q8:Q$24)),4)</f>
        <v>1.2863</v>
      </c>
      <c r="AC8" s="1790"/>
      <c r="AD8" s="1789">
        <f>ROUND(AVERAGE(I8:I$25)/100,4)</f>
        <v>2.35E-2</v>
      </c>
      <c r="AE8" s="1789">
        <f>ROUND(AVERAGE(J8:J$25)/100,4)</f>
        <v>1.6199999999999999E-2</v>
      </c>
      <c r="AF8" s="1789">
        <f t="shared" ref="AF8" si="42">AE8</f>
        <v>1.6199999999999999E-2</v>
      </c>
      <c r="AG8" s="1789">
        <f>ROUND(AVERAGE(K8:K$25)/100,4)</f>
        <v>2.5899999999999999E-2</v>
      </c>
      <c r="AH8" s="1789">
        <f>ROUND(AVERAGE(L8:L$25)/100,4)</f>
        <v>1.49E-2</v>
      </c>
    </row>
    <row r="9" spans="1:34" s="1466" customFormat="1" ht="15" customHeight="1" thickBot="1">
      <c r="A9" s="1461" t="s">
        <v>3031</v>
      </c>
      <c r="B9" s="1477">
        <f t="shared" ref="B9" si="43">B10*(1+N9)</f>
        <v>446.46299999999997</v>
      </c>
      <c r="C9" s="1477">
        <f t="shared" ref="C9" si="44">C10*(1+O9)</f>
        <v>333.27840000000003</v>
      </c>
      <c r="D9" s="1477">
        <f t="shared" ref="D9" si="45">C9</f>
        <v>333.27840000000003</v>
      </c>
      <c r="E9" s="1477">
        <f t="shared" ref="E9" si="46">E10*(1+P9)</f>
        <v>637.28279999999995</v>
      </c>
      <c r="F9" s="1477">
        <f t="shared" ref="F9" si="47">F10*(1+Q9)</f>
        <v>288.68830000000003</v>
      </c>
      <c r="G9" s="3478"/>
      <c r="H9" s="1464">
        <v>1</v>
      </c>
      <c r="I9" s="1464">
        <v>1.7</v>
      </c>
      <c r="J9" s="1464">
        <v>1.92</v>
      </c>
      <c r="K9" s="1464">
        <v>1.64</v>
      </c>
      <c r="L9" s="1478">
        <v>2.0099999999999998</v>
      </c>
      <c r="M9" s="1471"/>
      <c r="N9" s="1472">
        <f t="shared" ref="N9:N14" si="48">I9/100</f>
        <v>1.7000000000000001E-2</v>
      </c>
      <c r="O9" s="1473">
        <f t="shared" ref="O9" si="49">J9/100</f>
        <v>1.9199999999999998E-2</v>
      </c>
      <c r="P9" s="1473">
        <f t="shared" ref="P9" si="50">K9/100</f>
        <v>1.6399999999999998E-2</v>
      </c>
      <c r="Q9" s="1473">
        <f t="shared" ref="Q9" si="51">L9/100</f>
        <v>2.0099999999999996E-2</v>
      </c>
      <c r="R9" s="1474"/>
      <c r="S9" s="1472">
        <f>B9/B10-1</f>
        <v>1.6999999999999904E-2</v>
      </c>
      <c r="T9" s="1473">
        <f t="shared" ref="T9" si="52">C9/C10-1</f>
        <v>1.9200000000000106E-2</v>
      </c>
      <c r="U9" s="1473">
        <f t="shared" ref="U9" si="53">D9/D10-1</f>
        <v>1.9200000000000106E-2</v>
      </c>
      <c r="V9" s="1473">
        <f t="shared" ref="V9" si="54">E9/E10-1</f>
        <v>1.639999999999997E-2</v>
      </c>
      <c r="W9" s="1790"/>
      <c r="X9" s="1788">
        <f>ROUND(SUMPRODUCT(PRODUCT(1+N9:N$24)),4)</f>
        <v>1.4517</v>
      </c>
      <c r="Y9" s="1788">
        <f>ROUND(SUMPRODUCT(PRODUCT(1+O9:O$24)),4)</f>
        <v>1.2928999999999999</v>
      </c>
      <c r="Z9" s="1788">
        <f t="shared" ref="Z9" si="55">Y9</f>
        <v>1.2928999999999999</v>
      </c>
      <c r="AA9" s="1788">
        <f>ROUND(SUMPRODUCT(PRODUCT(1+P9:P$24)),4)</f>
        <v>1.5068999999999999</v>
      </c>
      <c r="AB9" s="1788">
        <f>ROUND(SUMPRODUCT(PRODUCT(1+Q9:Q$24)),4)</f>
        <v>1.2557</v>
      </c>
      <c r="AC9" s="1790"/>
      <c r="AD9" s="1789">
        <f>ROUND(AVERAGE(I9:I$25)/100,4)</f>
        <v>2.4E-2</v>
      </c>
      <c r="AE9" s="1789">
        <f>ROUND(AVERAGE(J9:J$25)/100,4)</f>
        <v>1.66E-2</v>
      </c>
      <c r="AF9" s="1789">
        <f t="shared" ref="AF9" si="56">AE9</f>
        <v>1.66E-2</v>
      </c>
      <c r="AG9" s="1789">
        <f>ROUND(AVERAGE(K9:K$25)/100,4)</f>
        <v>2.6499999999999999E-2</v>
      </c>
      <c r="AH9" s="1789">
        <f>ROUND(AVERAGE(L9:L$25)/100,4)</f>
        <v>1.43E-2</v>
      </c>
    </row>
    <row r="10" spans="1:34">
      <c r="A10" s="1461" t="s">
        <v>3028</v>
      </c>
      <c r="B10" s="1469">
        <v>439</v>
      </c>
      <c r="C10" s="1469">
        <v>327</v>
      </c>
      <c r="D10" s="1469">
        <f>C10</f>
        <v>327</v>
      </c>
      <c r="E10" s="1469">
        <v>627</v>
      </c>
      <c r="F10" s="1470">
        <v>283</v>
      </c>
      <c r="G10" s="3474">
        <v>2017</v>
      </c>
      <c r="H10" s="1462">
        <v>4</v>
      </c>
      <c r="I10" s="1462">
        <v>1.71</v>
      </c>
      <c r="J10" s="1462">
        <v>1.78</v>
      </c>
      <c r="K10" s="1462">
        <v>1.71</v>
      </c>
      <c r="L10" s="1463">
        <v>1.43</v>
      </c>
      <c r="N10" s="1472">
        <f t="shared" si="48"/>
        <v>1.7100000000000001E-2</v>
      </c>
      <c r="O10" s="1473">
        <f t="shared" ref="O10" si="57">J10/100</f>
        <v>1.78E-2</v>
      </c>
      <c r="P10" s="1473">
        <f t="shared" ref="P10" si="58">K10/100</f>
        <v>1.7100000000000001E-2</v>
      </c>
      <c r="Q10" s="1473">
        <f t="shared" ref="Q10" si="59">L10/100</f>
        <v>1.43E-2</v>
      </c>
      <c r="R10" s="1474"/>
      <c r="S10" s="1475"/>
      <c r="T10" s="1476"/>
      <c r="U10" s="1476"/>
      <c r="V10" s="1476"/>
      <c r="X10" s="1459">
        <f>ROUND(SUMPRODUCT(PRODUCT(1+N10:N$24)),4)</f>
        <v>1.4274</v>
      </c>
      <c r="Y10" s="1459">
        <f>ROUND(SUMPRODUCT(PRODUCT(1+O10:O$24)),4)</f>
        <v>1.2685</v>
      </c>
      <c r="Z10" s="1459">
        <f t="shared" si="0"/>
        <v>1.2685</v>
      </c>
      <c r="AA10" s="1459">
        <f>ROUND(SUMPRODUCT(PRODUCT(1+P10:P$24)),4)</f>
        <v>1.4825999999999999</v>
      </c>
      <c r="AB10" s="1459">
        <f>ROUND(SUMPRODUCT(PRODUCT(1+Q10:Q$24)),4)</f>
        <v>1.2309000000000001</v>
      </c>
      <c r="AD10" s="1460">
        <f>ROUND(AVERAGE(I10:I$25)/100,4)</f>
        <v>2.4500000000000001E-2</v>
      </c>
      <c r="AE10" s="1460">
        <f>ROUND(AVERAGE(J10:J$25)/100,4)</f>
        <v>1.6500000000000001E-2</v>
      </c>
      <c r="AF10" s="1460">
        <f t="shared" si="1"/>
        <v>1.6500000000000001E-2</v>
      </c>
      <c r="AG10" s="1460">
        <f>ROUND(AVERAGE(K10:K$25)/100,4)</f>
        <v>2.7099999999999999E-2</v>
      </c>
      <c r="AH10" s="1460">
        <f>ROUND(AVERAGE(L10:L$25)/100,4)</f>
        <v>1.3899999999999999E-2</v>
      </c>
    </row>
    <row r="11" spans="1:34" s="1466" customFormat="1" ht="14.45" customHeight="1">
      <c r="A11" s="1461" t="s">
        <v>3029</v>
      </c>
      <c r="B11" s="1477">
        <f t="shared" ref="B11:B12" si="60">B12*(1+N11)</f>
        <v>431.80730811680002</v>
      </c>
      <c r="C11" s="1477">
        <f t="shared" ref="C11:C12" si="61">C12*(1+O11)</f>
        <v>320.57880516480003</v>
      </c>
      <c r="D11" s="1477">
        <f t="shared" ref="D11:D12" si="62">C11</f>
        <v>320.57880516480003</v>
      </c>
      <c r="E11" s="1477">
        <f t="shared" ref="E11:E12" si="63">E12*(1+P11)</f>
        <v>615.96110553196797</v>
      </c>
      <c r="F11" s="1477">
        <f t="shared" ref="F11:F12" si="64">F12*(1+Q11)</f>
        <v>279.46777300108801</v>
      </c>
      <c r="G11" s="3471"/>
      <c r="H11" s="1464">
        <v>3</v>
      </c>
      <c r="I11" s="1464">
        <v>2.98</v>
      </c>
      <c r="J11" s="1464">
        <v>2.11</v>
      </c>
      <c r="K11" s="1464">
        <v>3.24</v>
      </c>
      <c r="L11" s="1478">
        <v>1.72</v>
      </c>
      <c r="M11" s="1471"/>
      <c r="N11" s="1472">
        <f t="shared" si="48"/>
        <v>2.98E-2</v>
      </c>
      <c r="O11" s="1473">
        <f t="shared" ref="O11" si="65">J11/100</f>
        <v>2.1099999999999997E-2</v>
      </c>
      <c r="P11" s="1473">
        <f t="shared" ref="P11" si="66">K11/100</f>
        <v>3.2400000000000005E-2</v>
      </c>
      <c r="Q11" s="1473">
        <f t="shared" ref="Q11" si="67">L11/100</f>
        <v>1.72E-2</v>
      </c>
      <c r="R11" s="1474"/>
      <c r="S11" s="1472"/>
      <c r="T11" s="1473"/>
      <c r="U11" s="1473"/>
      <c r="V11" s="1473"/>
      <c r="W11" s="1790"/>
      <c r="X11" s="1788">
        <f>ROUND(SUMPRODUCT(PRODUCT(1+N11:N$24)),4)</f>
        <v>1.4034</v>
      </c>
      <c r="Y11" s="1788">
        <f>ROUND(SUMPRODUCT(PRODUCT(1+O11:O$24)),4)</f>
        <v>1.2463</v>
      </c>
      <c r="Z11" s="1788">
        <f t="shared" si="0"/>
        <v>1.2463</v>
      </c>
      <c r="AA11" s="1788">
        <f>ROUND(SUMPRODUCT(PRODUCT(1+P11:P$24)),4)</f>
        <v>1.4577</v>
      </c>
      <c r="AB11" s="1788">
        <f>ROUND(SUMPRODUCT(PRODUCT(1+Q11:Q$24)),4)</f>
        <v>1.2136</v>
      </c>
      <c r="AC11" s="1790"/>
      <c r="AD11" s="1789">
        <f>ROUND(AVERAGE(I11:I$25)/100,4)</f>
        <v>2.4899999999999999E-2</v>
      </c>
      <c r="AE11" s="1789">
        <f>ROUND(AVERAGE(J11:J$25)/100,4)</f>
        <v>1.6400000000000001E-2</v>
      </c>
      <c r="AF11" s="1789">
        <f t="shared" si="1"/>
        <v>1.6400000000000001E-2</v>
      </c>
      <c r="AG11" s="1789">
        <f>ROUND(AVERAGE(K11:K$25)/100,4)</f>
        <v>2.7799999999999998E-2</v>
      </c>
      <c r="AH11" s="1789">
        <f>ROUND(AVERAGE(L11:L$25)/100,4)</f>
        <v>1.3899999999999999E-2</v>
      </c>
    </row>
    <row r="12" spans="1:34" s="1731" customFormat="1" ht="14.45" customHeight="1">
      <c r="A12" s="1461" t="s">
        <v>1382</v>
      </c>
      <c r="B12" s="1477">
        <f t="shared" si="60"/>
        <v>419.31181600000002</v>
      </c>
      <c r="C12" s="1477">
        <f t="shared" si="61"/>
        <v>313.95436800000004</v>
      </c>
      <c r="D12" s="1477">
        <f t="shared" si="62"/>
        <v>313.95436800000004</v>
      </c>
      <c r="E12" s="1477">
        <f t="shared" si="63"/>
        <v>596.63028431999999</v>
      </c>
      <c r="F12" s="1477">
        <f t="shared" si="64"/>
        <v>274.74220703999998</v>
      </c>
      <c r="G12" s="3471"/>
      <c r="H12" s="1465">
        <v>2</v>
      </c>
      <c r="I12" s="1465">
        <v>3.4</v>
      </c>
      <c r="J12" s="1465">
        <v>2</v>
      </c>
      <c r="K12" s="1465">
        <v>3.82</v>
      </c>
      <c r="L12" s="1479">
        <v>1.68</v>
      </c>
      <c r="M12" s="1471"/>
      <c r="N12" s="1472">
        <f t="shared" si="48"/>
        <v>3.4000000000000002E-2</v>
      </c>
      <c r="O12" s="1473">
        <f t="shared" ref="O12" si="68">J12/100</f>
        <v>0.02</v>
      </c>
      <c r="P12" s="1473">
        <f t="shared" ref="P12" si="69">K12/100</f>
        <v>3.8199999999999998E-2</v>
      </c>
      <c r="Q12" s="1473">
        <f t="shared" ref="Q12" si="70">L12/100</f>
        <v>1.6799999999999999E-2</v>
      </c>
      <c r="R12" s="1474"/>
      <c r="S12" s="1475"/>
      <c r="T12" s="1476"/>
      <c r="U12" s="1476"/>
      <c r="V12" s="1476"/>
      <c r="W12" s="1453"/>
      <c r="X12" s="1788">
        <f>ROUND(SUMPRODUCT(PRODUCT(1+N12:N$24)),4)</f>
        <v>1.3628</v>
      </c>
      <c r="Y12" s="1788">
        <f>ROUND(SUMPRODUCT(PRODUCT(1+O12:O$24)),4)</f>
        <v>1.2205999999999999</v>
      </c>
      <c r="Z12" s="1788">
        <f t="shared" si="0"/>
        <v>1.2205999999999999</v>
      </c>
      <c r="AA12" s="1788">
        <f>ROUND(SUMPRODUCT(PRODUCT(1+P12:P$24)),4)</f>
        <v>1.4118999999999999</v>
      </c>
      <c r="AB12" s="1788">
        <f>ROUND(SUMPRODUCT(PRODUCT(1+Q12:Q$24)),4)</f>
        <v>1.1930000000000001</v>
      </c>
      <c r="AC12" s="1453"/>
      <c r="AD12" s="1789">
        <f>ROUND(AVERAGE(I12:I$25)/100,4)</f>
        <v>2.46E-2</v>
      </c>
      <c r="AE12" s="1789">
        <f>ROUND(AVERAGE(J12:J$25)/100,4)</f>
        <v>1.6E-2</v>
      </c>
      <c r="AF12" s="1789">
        <f t="shared" si="1"/>
        <v>1.6E-2</v>
      </c>
      <c r="AG12" s="1789">
        <f>ROUND(AVERAGE(K12:K$25)/100,4)</f>
        <v>2.75E-2</v>
      </c>
      <c r="AH12" s="1789">
        <f>ROUND(AVERAGE(L12:L$25)/100,4)</f>
        <v>1.37E-2</v>
      </c>
    </row>
    <row r="13" spans="1:34" s="1466" customFormat="1" ht="15" customHeight="1" thickBot="1">
      <c r="A13" s="1461" t="s">
        <v>1157</v>
      </c>
      <c r="B13" s="1477">
        <f>B14*(1+N13)</f>
        <v>405.524</v>
      </c>
      <c r="C13" s="1477">
        <f>C14*(1+O13)</f>
        <v>307.79840000000002</v>
      </c>
      <c r="D13" s="1477">
        <f>C13</f>
        <v>307.79840000000002</v>
      </c>
      <c r="E13" s="1477">
        <f>E14*(1+P13)</f>
        <v>574.67759999999998</v>
      </c>
      <c r="F13" s="1477">
        <f>F14*(1+Q13)</f>
        <v>270.20280000000002</v>
      </c>
      <c r="G13" s="3478"/>
      <c r="H13" s="1464">
        <v>1</v>
      </c>
      <c r="I13" s="1464">
        <v>3.45</v>
      </c>
      <c r="J13" s="1464">
        <v>1.92</v>
      </c>
      <c r="K13" s="1464">
        <v>3.92</v>
      </c>
      <c r="L13" s="1478">
        <v>1.58</v>
      </c>
      <c r="M13" s="1471"/>
      <c r="N13" s="1472">
        <f t="shared" si="48"/>
        <v>3.4500000000000003E-2</v>
      </c>
      <c r="O13" s="1473">
        <f t="shared" ref="O13:Q28" si="71">J13/100</f>
        <v>1.9199999999999998E-2</v>
      </c>
      <c r="P13" s="1473">
        <f t="shared" si="71"/>
        <v>3.9199999999999999E-2</v>
      </c>
      <c r="Q13" s="1473">
        <f t="shared" si="71"/>
        <v>1.5800000000000002E-2</v>
      </c>
      <c r="R13" s="1474"/>
      <c r="S13" s="1472">
        <f>B13/B14-1</f>
        <v>3.4499999999999975E-2</v>
      </c>
      <c r="T13" s="1473">
        <f t="shared" ref="T13:V13" si="72">C13/C14-1</f>
        <v>1.9200000000000106E-2</v>
      </c>
      <c r="U13" s="1473">
        <f t="shared" si="72"/>
        <v>1.9200000000000106E-2</v>
      </c>
      <c r="V13" s="1473">
        <f t="shared" si="72"/>
        <v>3.9199999999999902E-2</v>
      </c>
      <c r="W13" s="1790"/>
      <c r="X13" s="1788">
        <f>ROUND(SUMPRODUCT(PRODUCT(1+N13:N$24)),4)</f>
        <v>1.3180000000000001</v>
      </c>
      <c r="Y13" s="1788">
        <f>ROUND(SUMPRODUCT(PRODUCT(1+O13:O$24)),4)</f>
        <v>1.1966000000000001</v>
      </c>
      <c r="Z13" s="1788">
        <f t="shared" si="0"/>
        <v>1.1966000000000001</v>
      </c>
      <c r="AA13" s="1788">
        <f>ROUND(SUMPRODUCT(PRODUCT(1+P13:P$24)),4)</f>
        <v>1.36</v>
      </c>
      <c r="AB13" s="1788">
        <f>ROUND(SUMPRODUCT(PRODUCT(1+Q13:Q$24)),4)</f>
        <v>1.1733</v>
      </c>
      <c r="AC13" s="1790"/>
      <c r="AD13" s="1789">
        <f>ROUND(AVERAGE(I13:I$25)/100,4)</f>
        <v>2.3900000000000001E-2</v>
      </c>
      <c r="AE13" s="1789">
        <f>ROUND(AVERAGE(J13:J$25)/100,4)</f>
        <v>1.5699999999999999E-2</v>
      </c>
      <c r="AF13" s="1789">
        <f t="shared" si="1"/>
        <v>1.5699999999999999E-2</v>
      </c>
      <c r="AG13" s="1789">
        <f>ROUND(AVERAGE(K13:K$25)/100,4)</f>
        <v>2.6599999999999999E-2</v>
      </c>
      <c r="AH13" s="1789">
        <f>ROUND(AVERAGE(L13:L$25)/100,4)</f>
        <v>1.34E-2</v>
      </c>
    </row>
    <row r="14" spans="1:34">
      <c r="A14" s="1461" t="s">
        <v>154</v>
      </c>
      <c r="B14" s="1469">
        <v>392</v>
      </c>
      <c r="C14" s="1469">
        <v>302</v>
      </c>
      <c r="D14" s="1469">
        <f>C14</f>
        <v>302</v>
      </c>
      <c r="E14" s="1469">
        <v>553</v>
      </c>
      <c r="F14" s="1470">
        <v>266</v>
      </c>
      <c r="G14" s="3474">
        <v>2016</v>
      </c>
      <c r="H14" s="1462">
        <v>4</v>
      </c>
      <c r="I14" s="1462">
        <v>4.5599999999999996</v>
      </c>
      <c r="J14" s="1462">
        <v>2.15</v>
      </c>
      <c r="K14" s="1462">
        <v>5.32</v>
      </c>
      <c r="L14" s="1463">
        <v>1.57</v>
      </c>
      <c r="N14" s="1472">
        <f t="shared" si="48"/>
        <v>4.5599999999999995E-2</v>
      </c>
      <c r="O14" s="1473">
        <f t="shared" si="71"/>
        <v>2.1499999999999998E-2</v>
      </c>
      <c r="P14" s="1473">
        <f t="shared" si="71"/>
        <v>5.3200000000000004E-2</v>
      </c>
      <c r="Q14" s="1473">
        <f t="shared" si="71"/>
        <v>1.5700000000000002E-2</v>
      </c>
      <c r="R14" s="1474"/>
      <c r="S14" s="1475"/>
      <c r="T14" s="1476"/>
      <c r="U14" s="1476"/>
      <c r="V14" s="1476"/>
      <c r="X14" s="1459">
        <f>ROUND(SUMPRODUCT(PRODUCT(1+N14:N$24)),4)</f>
        <v>1.274</v>
      </c>
      <c r="Y14" s="1459">
        <f>ROUND(SUMPRODUCT(PRODUCT(1+O14:O$24)),4)</f>
        <v>1.1740999999999999</v>
      </c>
      <c r="Z14" s="1459">
        <f t="shared" si="0"/>
        <v>1.1740999999999999</v>
      </c>
      <c r="AA14" s="1459">
        <f>ROUND(SUMPRODUCT(PRODUCT(1+P14:P$24)),4)</f>
        <v>1.3087</v>
      </c>
      <c r="AB14" s="1459">
        <f>ROUND(SUMPRODUCT(PRODUCT(1+Q14:Q$24)),4)</f>
        <v>1.1551</v>
      </c>
      <c r="AD14" s="1460">
        <f>ROUND(AVERAGE(I14:I$25)/100,4)</f>
        <v>2.3E-2</v>
      </c>
      <c r="AE14" s="1460">
        <f>ROUND(AVERAGE(J14:J$25)/100,4)</f>
        <v>1.55E-2</v>
      </c>
      <c r="AF14" s="1460">
        <f t="shared" si="1"/>
        <v>1.55E-2</v>
      </c>
      <c r="AG14" s="1460">
        <f>ROUND(AVERAGE(K14:K$25)/100,4)</f>
        <v>2.5600000000000001E-2</v>
      </c>
      <c r="AH14" s="1460">
        <f>ROUND(AVERAGE(L14:L$25)/100,4)</f>
        <v>1.32E-2</v>
      </c>
    </row>
    <row r="15" spans="1:34">
      <c r="A15" s="1461" t="s">
        <v>153</v>
      </c>
      <c r="B15" s="1477">
        <f t="shared" ref="B15:C17" si="73">B14/(1+N14)</f>
        <v>374.90436113236416</v>
      </c>
      <c r="C15" s="1477">
        <f t="shared" si="73"/>
        <v>295.64366128242779</v>
      </c>
      <c r="D15" s="1477">
        <f t="shared" ref="D15:D74" si="74">C15</f>
        <v>295.64366128242779</v>
      </c>
      <c r="E15" s="1477">
        <f t="shared" ref="E15:F17" si="75">E14/(1+P14)</f>
        <v>525.06646410938095</v>
      </c>
      <c r="F15" s="1477">
        <f t="shared" si="75"/>
        <v>261.88835286009646</v>
      </c>
      <c r="G15" s="3471"/>
      <c r="H15" s="1464">
        <v>3</v>
      </c>
      <c r="I15" s="1464">
        <v>4.12</v>
      </c>
      <c r="J15" s="1464">
        <v>2</v>
      </c>
      <c r="K15" s="1464">
        <v>4.79</v>
      </c>
      <c r="L15" s="1478">
        <v>1.97</v>
      </c>
      <c r="N15" s="1472">
        <f t="shared" ref="N15:Q49" si="76">I15/100</f>
        <v>4.1200000000000001E-2</v>
      </c>
      <c r="O15" s="1473">
        <f t="shared" si="71"/>
        <v>0.02</v>
      </c>
      <c r="P15" s="1473">
        <f t="shared" si="71"/>
        <v>4.7899999999999998E-2</v>
      </c>
      <c r="Q15" s="1473">
        <f t="shared" si="71"/>
        <v>1.9699999999999999E-2</v>
      </c>
      <c r="R15" s="1474"/>
      <c r="S15" s="1472"/>
      <c r="T15" s="1473"/>
      <c r="U15" s="1473"/>
      <c r="V15" s="1473"/>
      <c r="X15" s="1459">
        <f>ROUND(SUMPRODUCT(PRODUCT(1+N15:N$24)),4)</f>
        <v>1.2184999999999999</v>
      </c>
      <c r="Y15" s="1459">
        <f>ROUND(SUMPRODUCT(PRODUCT(1+O15:O$24)),4)</f>
        <v>1.1494</v>
      </c>
      <c r="Z15" s="1459">
        <f t="shared" si="0"/>
        <v>1.1494</v>
      </c>
      <c r="AA15" s="1459">
        <f>ROUND(SUMPRODUCT(PRODUCT(1+P15:P$24)),4)</f>
        <v>1.2425999999999999</v>
      </c>
      <c r="AB15" s="1459">
        <f>ROUND(SUMPRODUCT(PRODUCT(1+Q15:Q$24)),4)</f>
        <v>1.1372</v>
      </c>
      <c r="AD15" s="1460">
        <f>ROUND(AVERAGE(I15:I$25)/100,4)</f>
        <v>2.0899999999999998E-2</v>
      </c>
      <c r="AE15" s="1460">
        <f>ROUND(AVERAGE(J15:J$25)/100,4)</f>
        <v>1.49E-2</v>
      </c>
      <c r="AF15" s="1460">
        <f t="shared" si="1"/>
        <v>1.49E-2</v>
      </c>
      <c r="AG15" s="1460">
        <f>ROUND(AVERAGE(K15:K$25)/100,4)</f>
        <v>2.3099999999999999E-2</v>
      </c>
      <c r="AH15" s="1460">
        <f>ROUND(AVERAGE(L15:L$25)/100,4)</f>
        <v>1.2999999999999999E-2</v>
      </c>
    </row>
    <row r="16" spans="1:34">
      <c r="A16" s="1461" t="s">
        <v>143</v>
      </c>
      <c r="B16" s="1477">
        <f t="shared" si="73"/>
        <v>360.06949782209392</v>
      </c>
      <c r="C16" s="1477">
        <f t="shared" si="73"/>
        <v>289.84672674747821</v>
      </c>
      <c r="D16" s="1477">
        <f t="shared" si="74"/>
        <v>289.84672674747821</v>
      </c>
      <c r="E16" s="1477">
        <f t="shared" si="75"/>
        <v>501.06543001181495</v>
      </c>
      <c r="F16" s="1477">
        <f t="shared" si="75"/>
        <v>256.82882500744967</v>
      </c>
      <c r="G16" s="3471"/>
      <c r="H16" s="1465">
        <v>2</v>
      </c>
      <c r="I16" s="1465">
        <v>3.85</v>
      </c>
      <c r="J16" s="1465">
        <v>1.95</v>
      </c>
      <c r="K16" s="1465">
        <v>4.4800000000000004</v>
      </c>
      <c r="L16" s="1479">
        <v>1.41</v>
      </c>
      <c r="N16" s="1472">
        <f t="shared" si="76"/>
        <v>3.85E-2</v>
      </c>
      <c r="O16" s="1473">
        <f t="shared" si="71"/>
        <v>1.95E-2</v>
      </c>
      <c r="P16" s="1473">
        <f t="shared" si="71"/>
        <v>4.4800000000000006E-2</v>
      </c>
      <c r="Q16" s="1473">
        <f t="shared" si="71"/>
        <v>1.41E-2</v>
      </c>
      <c r="R16" s="1474"/>
      <c r="S16" s="1472"/>
      <c r="T16" s="1473"/>
      <c r="U16" s="1473"/>
      <c r="V16" s="1473"/>
      <c r="X16" s="1459">
        <f>ROUND(SUMPRODUCT(PRODUCT(1+N16:N$24)),4)</f>
        <v>1.1702999999999999</v>
      </c>
      <c r="Y16" s="1459">
        <f>ROUND(SUMPRODUCT(PRODUCT(1+O16:O$24)),4)</f>
        <v>1.1269</v>
      </c>
      <c r="Z16" s="1459">
        <f t="shared" si="0"/>
        <v>1.1269</v>
      </c>
      <c r="AA16" s="1459">
        <f>ROUND(SUMPRODUCT(PRODUCT(1+P16:P$24)),4)</f>
        <v>1.1858</v>
      </c>
      <c r="AB16" s="1459">
        <f>ROUND(SUMPRODUCT(PRODUCT(1+Q16:Q$24)),4)</f>
        <v>1.1152</v>
      </c>
      <c r="AD16" s="1460">
        <f>ROUND(AVERAGE(I16:I$25)/100,4)</f>
        <v>1.89E-2</v>
      </c>
      <c r="AE16" s="1460">
        <f>ROUND(AVERAGE(J16:J$25)/100,4)</f>
        <v>1.44E-2</v>
      </c>
      <c r="AF16" s="1460">
        <f t="shared" si="1"/>
        <v>1.44E-2</v>
      </c>
      <c r="AG16" s="1460">
        <f>ROUND(AVERAGE(K16:K$25)/100,4)</f>
        <v>2.06E-2</v>
      </c>
      <c r="AH16" s="1460">
        <f>ROUND(AVERAGE(L16:L$25)/100,4)</f>
        <v>1.23E-2</v>
      </c>
    </row>
    <row r="17" spans="1:34" ht="13.5" thickBot="1">
      <c r="A17" s="1461" t="s">
        <v>152</v>
      </c>
      <c r="B17" s="1477">
        <f t="shared" si="73"/>
        <v>346.720748986128</v>
      </c>
      <c r="C17" s="1477">
        <f t="shared" si="73"/>
        <v>284.30282172386285</v>
      </c>
      <c r="D17" s="1477">
        <f t="shared" si="74"/>
        <v>284.30282172386285</v>
      </c>
      <c r="E17" s="1477">
        <f t="shared" si="75"/>
        <v>479.58023546306947</v>
      </c>
      <c r="F17" s="1477">
        <f t="shared" si="75"/>
        <v>253.25788877571213</v>
      </c>
      <c r="G17" s="3472"/>
      <c r="H17" s="1464">
        <v>1</v>
      </c>
      <c r="I17" s="1464">
        <v>4.09</v>
      </c>
      <c r="J17" s="1464">
        <v>2.93</v>
      </c>
      <c r="K17" s="1464">
        <v>4.54</v>
      </c>
      <c r="L17" s="1478">
        <v>1.48</v>
      </c>
      <c r="N17" s="1472">
        <f t="shared" si="76"/>
        <v>4.0899999999999999E-2</v>
      </c>
      <c r="O17" s="1473">
        <f t="shared" si="71"/>
        <v>2.9300000000000003E-2</v>
      </c>
      <c r="P17" s="1473">
        <f t="shared" si="71"/>
        <v>4.5400000000000003E-2</v>
      </c>
      <c r="Q17" s="1473">
        <f t="shared" si="71"/>
        <v>1.4800000000000001E-2</v>
      </c>
      <c r="R17" s="1474"/>
      <c r="S17" s="1480">
        <f>B17/B18-1</f>
        <v>4.1203450408792808E-2</v>
      </c>
      <c r="T17" s="1481">
        <f>C17/C18-1</f>
        <v>2.6363977342465095E-2</v>
      </c>
      <c r="U17" s="1481">
        <f>E17/E18-1</f>
        <v>4.4837114298626357E-2</v>
      </c>
      <c r="V17" s="1481">
        <f>F17/F18-1</f>
        <v>1.7099954922538574E-2</v>
      </c>
      <c r="X17" s="1459">
        <f>ROUND(SUMPRODUCT(PRODUCT(1+N17:N$24)),4)</f>
        <v>1.1269</v>
      </c>
      <c r="Y17" s="1459">
        <f>ROUND(SUMPRODUCT(PRODUCT(1+O17:O$24)),4)</f>
        <v>1.1052999999999999</v>
      </c>
      <c r="Z17" s="1459">
        <f t="shared" si="0"/>
        <v>1.1052999999999999</v>
      </c>
      <c r="AA17" s="1459">
        <f>ROUND(SUMPRODUCT(PRODUCT(1+P17:P$24)),4)</f>
        <v>1.1349</v>
      </c>
      <c r="AB17" s="1459">
        <f>ROUND(SUMPRODUCT(PRODUCT(1+Q17:Q$24)),4)</f>
        <v>1.0996999999999999</v>
      </c>
      <c r="AD17" s="1460">
        <f>ROUND(AVERAGE(I17:I$25)/100,4)</f>
        <v>1.67E-2</v>
      </c>
      <c r="AE17" s="1460">
        <f>ROUND(AVERAGE(J17:J$25)/100,4)</f>
        <v>1.38E-2</v>
      </c>
      <c r="AF17" s="1460">
        <f t="shared" si="1"/>
        <v>1.38E-2</v>
      </c>
      <c r="AG17" s="1460">
        <f>ROUND(AVERAGE(K17:K$25)/100,4)</f>
        <v>1.7899999999999999E-2</v>
      </c>
      <c r="AH17" s="1460">
        <f>ROUND(AVERAGE(L17:L$25)/100,4)</f>
        <v>1.21E-2</v>
      </c>
    </row>
    <row r="18" spans="1:34" ht="13.5" thickBot="1">
      <c r="A18" s="1461" t="s">
        <v>151</v>
      </c>
      <c r="B18" s="1469">
        <v>333</v>
      </c>
      <c r="C18" s="1469">
        <v>277</v>
      </c>
      <c r="D18" s="1469">
        <f t="shared" si="74"/>
        <v>277</v>
      </c>
      <c r="E18" s="1469">
        <v>459</v>
      </c>
      <c r="F18" s="1470">
        <v>249</v>
      </c>
      <c r="G18" s="3470">
        <v>2015</v>
      </c>
      <c r="H18" s="1482">
        <v>4</v>
      </c>
      <c r="I18" s="1482">
        <v>1.63</v>
      </c>
      <c r="J18" s="1482">
        <v>1.1100000000000001</v>
      </c>
      <c r="K18" s="1482">
        <v>1.77</v>
      </c>
      <c r="L18" s="1483">
        <v>1.89</v>
      </c>
      <c r="N18" s="1484">
        <f t="shared" si="76"/>
        <v>1.6299999999999999E-2</v>
      </c>
      <c r="O18" s="1485">
        <f t="shared" si="71"/>
        <v>1.11E-2</v>
      </c>
      <c r="P18" s="1485">
        <f t="shared" si="71"/>
        <v>1.77E-2</v>
      </c>
      <c r="Q18" s="1485">
        <f t="shared" si="71"/>
        <v>1.89E-2</v>
      </c>
      <c r="R18" s="1474"/>
      <c r="X18" s="1459">
        <f>ROUND(SUMPRODUCT(PRODUCT(1+N18:N$24)),4)</f>
        <v>1.0826</v>
      </c>
      <c r="Y18" s="1459">
        <f>ROUND(SUMPRODUCT(PRODUCT(1+O18:O$24)),4)</f>
        <v>1.0738000000000001</v>
      </c>
      <c r="Z18" s="1459">
        <f t="shared" si="0"/>
        <v>1.0738000000000001</v>
      </c>
      <c r="AA18" s="1459">
        <f>ROUND(SUMPRODUCT(PRODUCT(1+P18:P$24)),4)</f>
        <v>1.0855999999999999</v>
      </c>
      <c r="AB18" s="1459">
        <f>ROUND(SUMPRODUCT(PRODUCT(1+Q18:Q$24)),4)</f>
        <v>1.0837000000000001</v>
      </c>
      <c r="AD18" s="1460">
        <f>ROUND(AVERAGE(I18:I$25)/100,4)</f>
        <v>1.37E-2</v>
      </c>
      <c r="AE18" s="1460">
        <f>ROUND(AVERAGE(J18:J$25)/100,4)</f>
        <v>1.1900000000000001E-2</v>
      </c>
      <c r="AF18" s="1460">
        <f t="shared" si="1"/>
        <v>1.1900000000000001E-2</v>
      </c>
      <c r="AG18" s="1460">
        <f>ROUND(AVERAGE(K18:K$25)/100,4)</f>
        <v>1.4500000000000001E-2</v>
      </c>
      <c r="AH18" s="1460">
        <f>ROUND(AVERAGE(L18:L$25)/100,4)</f>
        <v>1.18E-2</v>
      </c>
    </row>
    <row r="19" spans="1:34">
      <c r="A19" s="1461" t="s">
        <v>150</v>
      </c>
      <c r="B19" s="1477">
        <f t="shared" ref="B19:C21" si="77">B18/(1+N18)</f>
        <v>327.65915576109415</v>
      </c>
      <c r="C19" s="1477">
        <f t="shared" si="77"/>
        <v>273.95905449510434</v>
      </c>
      <c r="D19" s="1477">
        <f t="shared" si="74"/>
        <v>273.95905449510434</v>
      </c>
      <c r="E19" s="1477">
        <f t="shared" ref="E19:F21" si="78">E18/(1+P18)</f>
        <v>451.01699911565294</v>
      </c>
      <c r="F19" s="1477">
        <f t="shared" si="78"/>
        <v>244.38119540681129</v>
      </c>
      <c r="G19" s="3471"/>
      <c r="H19" s="1487">
        <v>3</v>
      </c>
      <c r="I19" s="1487">
        <v>1.65</v>
      </c>
      <c r="J19" s="1487">
        <v>0.92</v>
      </c>
      <c r="K19" s="1487">
        <v>1.88</v>
      </c>
      <c r="L19" s="1488">
        <v>1.26</v>
      </c>
      <c r="N19" s="1472">
        <f t="shared" si="76"/>
        <v>1.6500000000000001E-2</v>
      </c>
      <c r="O19" s="1489">
        <f t="shared" si="71"/>
        <v>9.1999999999999998E-3</v>
      </c>
      <c r="P19" s="1489">
        <f t="shared" si="71"/>
        <v>1.8799999999999997E-2</v>
      </c>
      <c r="Q19" s="1489">
        <f t="shared" si="71"/>
        <v>1.26E-2</v>
      </c>
      <c r="R19" s="1474"/>
      <c r="S19" s="1472"/>
      <c r="T19" s="1473"/>
      <c r="U19" s="1473"/>
      <c r="V19" s="1473"/>
      <c r="X19" s="1459">
        <f>ROUND(SUMPRODUCT(PRODUCT(1+N19:N$24)),4)</f>
        <v>1.0651999999999999</v>
      </c>
      <c r="Y19" s="1459">
        <f>ROUND(SUMPRODUCT(PRODUCT(1+O19:O$24)),4)</f>
        <v>1.0621</v>
      </c>
      <c r="Z19" s="1459">
        <f t="shared" si="0"/>
        <v>1.0621</v>
      </c>
      <c r="AA19" s="1459">
        <f>ROUND(SUMPRODUCT(PRODUCT(1+P19:P$24)),4)</f>
        <v>1.0668</v>
      </c>
      <c r="AB19" s="1459">
        <f>ROUND(SUMPRODUCT(PRODUCT(1+Q19:Q$24)),4)</f>
        <v>1.0636000000000001</v>
      </c>
      <c r="AD19" s="1460">
        <f>ROUND(AVERAGE(I19:I$25)/100,4)</f>
        <v>1.3299999999999999E-2</v>
      </c>
      <c r="AE19" s="1460">
        <f>ROUND(AVERAGE(J19:J$25)/100,4)</f>
        <v>1.2E-2</v>
      </c>
      <c r="AF19" s="1460">
        <f t="shared" si="1"/>
        <v>1.2E-2</v>
      </c>
      <c r="AG19" s="1460">
        <f>ROUND(AVERAGE(K19:K$25)/100,4)</f>
        <v>1.4E-2</v>
      </c>
      <c r="AH19" s="1460">
        <f>ROUND(AVERAGE(L19:L$25)/100,4)</f>
        <v>1.0800000000000001E-2</v>
      </c>
    </row>
    <row r="20" spans="1:34">
      <c r="A20" s="1461" t="s">
        <v>149</v>
      </c>
      <c r="B20" s="1477">
        <f t="shared" si="77"/>
        <v>322.34053690220776</v>
      </c>
      <c r="C20" s="1477">
        <f t="shared" si="77"/>
        <v>271.46160770422546</v>
      </c>
      <c r="D20" s="1477">
        <f t="shared" si="74"/>
        <v>271.46160770422546</v>
      </c>
      <c r="E20" s="1477">
        <f t="shared" si="78"/>
        <v>442.69434542172456</v>
      </c>
      <c r="F20" s="1477">
        <f t="shared" si="78"/>
        <v>241.34030753190925</v>
      </c>
      <c r="G20" s="3471"/>
      <c r="H20" s="1465">
        <v>2</v>
      </c>
      <c r="I20" s="1465">
        <v>0.77</v>
      </c>
      <c r="J20" s="1465">
        <v>0.69</v>
      </c>
      <c r="K20" s="1465">
        <v>0.8</v>
      </c>
      <c r="L20" s="1479">
        <v>0.88</v>
      </c>
      <c r="N20" s="1472">
        <f t="shared" si="76"/>
        <v>7.7000000000000002E-3</v>
      </c>
      <c r="O20" s="1489">
        <f t="shared" si="71"/>
        <v>6.8999999999999999E-3</v>
      </c>
      <c r="P20" s="1489">
        <f t="shared" si="71"/>
        <v>8.0000000000000002E-3</v>
      </c>
      <c r="Q20" s="1489">
        <f t="shared" si="71"/>
        <v>8.8000000000000005E-3</v>
      </c>
      <c r="R20" s="1474"/>
      <c r="S20" s="1472"/>
      <c r="T20" s="1473"/>
      <c r="U20" s="1473"/>
      <c r="V20" s="1473"/>
      <c r="X20" s="1459">
        <f>ROUND(SUMPRODUCT(PRODUCT(1+N20:N$24)),4)</f>
        <v>1.048</v>
      </c>
      <c r="Y20" s="1459">
        <f>ROUND(SUMPRODUCT(PRODUCT(1+O20:O$24)),4)</f>
        <v>1.0524</v>
      </c>
      <c r="Z20" s="1459">
        <f t="shared" si="0"/>
        <v>1.0524</v>
      </c>
      <c r="AA20" s="1459">
        <f>ROUND(SUMPRODUCT(PRODUCT(1+P20:P$24)),4)</f>
        <v>1.0470999999999999</v>
      </c>
      <c r="AB20" s="1459">
        <f>ROUND(SUMPRODUCT(PRODUCT(1+Q20:Q$24)),4)</f>
        <v>1.0504</v>
      </c>
      <c r="AD20" s="1460">
        <f>ROUND(AVERAGE(I20:I$25)/100,4)</f>
        <v>1.2800000000000001E-2</v>
      </c>
      <c r="AE20" s="1460">
        <f>ROUND(AVERAGE(J20:J$25)/100,4)</f>
        <v>1.2500000000000001E-2</v>
      </c>
      <c r="AF20" s="1460">
        <f t="shared" si="1"/>
        <v>1.2500000000000001E-2</v>
      </c>
      <c r="AG20" s="1460">
        <f>ROUND(AVERAGE(K20:K$25)/100,4)</f>
        <v>1.32E-2</v>
      </c>
      <c r="AH20" s="1460">
        <f>ROUND(AVERAGE(L20:L$25)/100,4)</f>
        <v>1.0500000000000001E-2</v>
      </c>
    </row>
    <row r="21" spans="1:34">
      <c r="A21" s="1461" t="s">
        <v>148</v>
      </c>
      <c r="B21" s="1477">
        <f t="shared" si="77"/>
        <v>319.87748030386797</v>
      </c>
      <c r="C21" s="1477">
        <f t="shared" si="77"/>
        <v>269.60135833173649</v>
      </c>
      <c r="D21" s="1477">
        <f t="shared" si="74"/>
        <v>269.60135833173649</v>
      </c>
      <c r="E21" s="1477">
        <f t="shared" si="78"/>
        <v>439.18089823583784</v>
      </c>
      <c r="F21" s="1477">
        <f t="shared" si="78"/>
        <v>239.23503918706311</v>
      </c>
      <c r="G21" s="3472"/>
      <c r="H21" s="1464">
        <v>1</v>
      </c>
      <c r="I21" s="1464">
        <v>0.51</v>
      </c>
      <c r="J21" s="1464">
        <v>0.54</v>
      </c>
      <c r="K21" s="1464">
        <v>0.48</v>
      </c>
      <c r="L21" s="1478">
        <v>0.93</v>
      </c>
      <c r="N21" s="1480">
        <f t="shared" si="76"/>
        <v>5.1000000000000004E-3</v>
      </c>
      <c r="O21" s="1481">
        <f t="shared" si="71"/>
        <v>5.4000000000000003E-3</v>
      </c>
      <c r="P21" s="1481">
        <f t="shared" si="71"/>
        <v>4.7999999999999996E-3</v>
      </c>
      <c r="Q21" s="1481">
        <f t="shared" si="71"/>
        <v>9.300000000000001E-3</v>
      </c>
      <c r="R21" s="1474"/>
      <c r="S21" s="1480">
        <f>B21/B22-1</f>
        <v>5.9040261127922822E-3</v>
      </c>
      <c r="T21" s="1481">
        <f>C21/C22-1</f>
        <v>5.9752176557332781E-3</v>
      </c>
      <c r="U21" s="1481">
        <f>E21/E22-1</f>
        <v>4.9906138119859556E-3</v>
      </c>
      <c r="V21" s="1481">
        <f>F21/F22-1</f>
        <v>9.4305450930933787E-3</v>
      </c>
      <c r="X21" s="1459">
        <f>ROUND(SUMPRODUCT(PRODUCT(1+N21:N$24)),4)</f>
        <v>1.0399</v>
      </c>
      <c r="Y21" s="1459">
        <f>ROUND(SUMPRODUCT(PRODUCT(1+O21:O$24)),4)</f>
        <v>1.0451999999999999</v>
      </c>
      <c r="Z21" s="1459">
        <f t="shared" si="0"/>
        <v>1.0451999999999999</v>
      </c>
      <c r="AA21" s="1459">
        <f>ROUND(SUMPRODUCT(PRODUCT(1+P21:P$24)),4)</f>
        <v>1.0387999999999999</v>
      </c>
      <c r="AB21" s="1459">
        <f>ROUND(SUMPRODUCT(PRODUCT(1+Q21:Q$24)),4)</f>
        <v>1.0411999999999999</v>
      </c>
      <c r="AD21" s="1460">
        <f>ROUND(AVERAGE(I21:I$25)/100,4)</f>
        <v>1.38E-2</v>
      </c>
      <c r="AE21" s="1460">
        <f>ROUND(AVERAGE(J21:J$25)/100,4)</f>
        <v>1.3599999999999999E-2</v>
      </c>
      <c r="AF21" s="1460">
        <f t="shared" si="1"/>
        <v>1.3599999999999999E-2</v>
      </c>
      <c r="AG21" s="1460">
        <f>ROUND(AVERAGE(K21:K$25)/100,4)</f>
        <v>1.4200000000000001E-2</v>
      </c>
      <c r="AH21" s="1460">
        <f>ROUND(AVERAGE(L21:L$25)/100,4)</f>
        <v>1.0800000000000001E-2</v>
      </c>
    </row>
    <row r="22" spans="1:34" ht="13.5" thickBot="1">
      <c r="A22" s="1461" t="s">
        <v>147</v>
      </c>
      <c r="B22" s="1490">
        <v>318</v>
      </c>
      <c r="C22" s="1490">
        <v>268</v>
      </c>
      <c r="D22" s="1490">
        <f t="shared" si="74"/>
        <v>268</v>
      </c>
      <c r="E22" s="1490">
        <v>437</v>
      </c>
      <c r="F22" s="1491">
        <v>237</v>
      </c>
      <c r="G22" s="3470">
        <v>2014</v>
      </c>
      <c r="H22" s="1482">
        <v>4</v>
      </c>
      <c r="I22" s="1482">
        <v>0.21</v>
      </c>
      <c r="J22" s="1482">
        <v>0.41</v>
      </c>
      <c r="K22" s="1482">
        <v>0.12</v>
      </c>
      <c r="L22" s="1483">
        <v>0.89</v>
      </c>
      <c r="N22" s="1472">
        <f t="shared" si="76"/>
        <v>2.0999999999999999E-3</v>
      </c>
      <c r="O22" s="1473">
        <f t="shared" si="71"/>
        <v>4.0999999999999995E-3</v>
      </c>
      <c r="P22" s="1473">
        <f t="shared" si="71"/>
        <v>1.1999999999999999E-3</v>
      </c>
      <c r="Q22" s="1473">
        <f t="shared" si="71"/>
        <v>8.8999999999999999E-3</v>
      </c>
      <c r="R22" s="1474"/>
      <c r="S22" s="1475"/>
      <c r="T22" s="1476"/>
      <c r="U22" s="1476"/>
      <c r="V22" s="1476"/>
      <c r="X22" s="1459">
        <f>ROUND(SUMPRODUCT(PRODUCT(1+N22:N$24)),4)</f>
        <v>1.0347</v>
      </c>
      <c r="Y22" s="1459">
        <f>ROUND(SUMPRODUCT(PRODUCT(1+O22:O$24)),4)</f>
        <v>1.0395000000000001</v>
      </c>
      <c r="Z22" s="1459">
        <f t="shared" si="0"/>
        <v>1.0395000000000001</v>
      </c>
      <c r="AA22" s="1459">
        <f>ROUND(SUMPRODUCT(PRODUCT(1+P22:P$24)),4)</f>
        <v>1.0338000000000001</v>
      </c>
      <c r="AB22" s="1459">
        <f>ROUND(SUMPRODUCT(PRODUCT(1+Q22:Q$24)),4)</f>
        <v>1.0316000000000001</v>
      </c>
      <c r="AD22" s="1460">
        <f>ROUND(AVERAGE(I22:I$25)/100,4)</f>
        <v>1.6E-2</v>
      </c>
      <c r="AE22" s="1460">
        <f>ROUND(AVERAGE(J22:J$25)/100,4)</f>
        <v>1.5599999999999999E-2</v>
      </c>
      <c r="AF22" s="1460">
        <f t="shared" si="1"/>
        <v>1.5599999999999999E-2</v>
      </c>
      <c r="AG22" s="1460">
        <f>ROUND(AVERAGE(K22:K$25)/100,4)</f>
        <v>1.66E-2</v>
      </c>
      <c r="AH22" s="1460">
        <f>ROUND(AVERAGE(L22:L$25)/100,4)</f>
        <v>1.12E-2</v>
      </c>
    </row>
    <row r="23" spans="1:34">
      <c r="A23" s="1461" t="s">
        <v>146</v>
      </c>
      <c r="B23" s="1477">
        <f t="shared" ref="B23:C25" si="79">B22/(1+N22)</f>
        <v>317.33359944117353</v>
      </c>
      <c r="C23" s="1477">
        <f t="shared" si="79"/>
        <v>266.90568668459315</v>
      </c>
      <c r="D23" s="1477">
        <f t="shared" si="74"/>
        <v>266.90568668459315</v>
      </c>
      <c r="E23" s="1477">
        <f t="shared" ref="E23:F25" si="80">E22/(1+P22)</f>
        <v>436.47622852576905</v>
      </c>
      <c r="F23" s="1477">
        <f t="shared" si="80"/>
        <v>234.90930716622066</v>
      </c>
      <c r="G23" s="3471"/>
      <c r="H23" s="1492">
        <v>3</v>
      </c>
      <c r="I23" s="1492">
        <v>0.83</v>
      </c>
      <c r="J23" s="1492">
        <v>1.47</v>
      </c>
      <c r="K23" s="1492">
        <v>0.65</v>
      </c>
      <c r="L23" s="1493">
        <v>0.72</v>
      </c>
      <c r="N23" s="1472">
        <f t="shared" si="76"/>
        <v>8.3000000000000001E-3</v>
      </c>
      <c r="O23" s="1473">
        <f t="shared" si="71"/>
        <v>1.47E-2</v>
      </c>
      <c r="P23" s="1473">
        <f t="shared" si="71"/>
        <v>6.5000000000000006E-3</v>
      </c>
      <c r="Q23" s="1473">
        <f t="shared" si="71"/>
        <v>7.1999999999999998E-3</v>
      </c>
      <c r="R23" s="1474"/>
      <c r="S23" s="1472"/>
      <c r="T23" s="1473"/>
      <c r="U23" s="1473"/>
      <c r="V23" s="1473"/>
      <c r="X23" s="1459">
        <f>ROUND(SUMPRODUCT(PRODUCT(1+N23:N$24)),4)</f>
        <v>1.0325</v>
      </c>
      <c r="Y23" s="1459">
        <f>ROUND(SUMPRODUCT(PRODUCT(1+O23:O$24)),4)</f>
        <v>1.0353000000000001</v>
      </c>
      <c r="Z23" s="1459">
        <f t="shared" ref="Z23:Z24" si="81">Y23</f>
        <v>1.0353000000000001</v>
      </c>
      <c r="AA23" s="1459">
        <f>ROUND(SUMPRODUCT(PRODUCT(1+P23:P$24)),4)</f>
        <v>1.0326</v>
      </c>
      <c r="AB23" s="1459">
        <f>ROUND(SUMPRODUCT(PRODUCT(1+Q23:Q$24)),4)</f>
        <v>1.0225</v>
      </c>
      <c r="AD23" s="1460">
        <f>ROUND(AVERAGE(I23:I$25)/100,4)</f>
        <v>2.07E-2</v>
      </c>
      <c r="AE23" s="1460">
        <f>ROUND(AVERAGE(J23:J$25)/100,4)</f>
        <v>1.95E-2</v>
      </c>
      <c r="AF23" s="1460">
        <f t="shared" si="1"/>
        <v>1.95E-2</v>
      </c>
      <c r="AG23" s="1460">
        <f>ROUND(AVERAGE(K23:K$25)/100,4)</f>
        <v>2.1700000000000001E-2</v>
      </c>
      <c r="AH23" s="1460">
        <f>ROUND(AVERAGE(L23:L$25)/100,4)</f>
        <v>1.2E-2</v>
      </c>
    </row>
    <row r="24" spans="1:34" ht="13.5" thickBot="1">
      <c r="A24" s="1461" t="s">
        <v>145</v>
      </c>
      <c r="B24" s="1477">
        <f t="shared" si="79"/>
        <v>314.72141172386546</v>
      </c>
      <c r="C24" s="1477">
        <f t="shared" si="79"/>
        <v>263.03901319069001</v>
      </c>
      <c r="D24" s="1477">
        <f t="shared" si="74"/>
        <v>263.03901319069001</v>
      </c>
      <c r="E24" s="1477">
        <f t="shared" si="80"/>
        <v>433.65745506782821</v>
      </c>
      <c r="F24" s="1477">
        <f t="shared" si="80"/>
        <v>233.23005080045735</v>
      </c>
      <c r="G24" s="3471"/>
      <c r="H24" s="1482">
        <v>2</v>
      </c>
      <c r="I24" s="1482">
        <v>2.4</v>
      </c>
      <c r="J24" s="1482">
        <v>2.0299999999999998</v>
      </c>
      <c r="K24" s="1482">
        <v>2.59</v>
      </c>
      <c r="L24" s="1483">
        <v>1.52</v>
      </c>
      <c r="N24" s="1472">
        <f t="shared" si="76"/>
        <v>2.4E-2</v>
      </c>
      <c r="O24" s="1473">
        <f t="shared" si="71"/>
        <v>2.0299999999999999E-2</v>
      </c>
      <c r="P24" s="1473">
        <f t="shared" si="71"/>
        <v>2.5899999999999999E-2</v>
      </c>
      <c r="Q24" s="1473">
        <f t="shared" si="71"/>
        <v>1.52E-2</v>
      </c>
      <c r="R24" s="1474"/>
      <c r="S24" s="1472"/>
      <c r="T24" s="1473"/>
      <c r="U24" s="1473"/>
      <c r="V24" s="1473"/>
      <c r="X24" s="1459">
        <f>1+N24</f>
        <v>1.024</v>
      </c>
      <c r="Y24" s="1459">
        <f>1+O24</f>
        <v>1.0203</v>
      </c>
      <c r="Z24" s="1459">
        <f t="shared" si="81"/>
        <v>1.0203</v>
      </c>
      <c r="AA24" s="1459">
        <f>1+P24</f>
        <v>1.0259</v>
      </c>
      <c r="AB24" s="1459">
        <f>1+Q24</f>
        <v>1.0152000000000001</v>
      </c>
      <c r="AD24" s="1460">
        <f>ROUND(AVERAGE(I24:I$25)/100,4)</f>
        <v>2.69E-2</v>
      </c>
      <c r="AE24" s="1460">
        <f>ROUND(AVERAGE(J24:J$25)/100,4)</f>
        <v>2.1899999999999999E-2</v>
      </c>
      <c r="AF24" s="1460">
        <f t="shared" ref="AF24" si="82">AE24</f>
        <v>2.1899999999999999E-2</v>
      </c>
      <c r="AG24" s="1460">
        <f>ROUND(AVERAGE(K24:K$25)/100,4)</f>
        <v>2.9399999999999999E-2</v>
      </c>
      <c r="AH24" s="1460">
        <f>ROUND(AVERAGE(L24:L$25)/100,4)</f>
        <v>1.44E-2</v>
      </c>
    </row>
    <row r="25" spans="1:34" s="1498" customFormat="1" ht="13.5" thickBot="1">
      <c r="A25" s="1494" t="s">
        <v>144</v>
      </c>
      <c r="B25" s="1495">
        <f t="shared" si="79"/>
        <v>307.34512863658733</v>
      </c>
      <c r="C25" s="1495">
        <f t="shared" si="79"/>
        <v>257.80556031626975</v>
      </c>
      <c r="D25" s="1495">
        <f t="shared" si="74"/>
        <v>257.80556031626975</v>
      </c>
      <c r="E25" s="1495">
        <f t="shared" si="80"/>
        <v>422.70928459677179</v>
      </c>
      <c r="F25" s="1495">
        <f t="shared" si="80"/>
        <v>229.73803270336617</v>
      </c>
      <c r="G25" s="3472"/>
      <c r="H25" s="1496">
        <v>1</v>
      </c>
      <c r="I25" s="1496">
        <v>2.97</v>
      </c>
      <c r="J25" s="1496">
        <v>2.34</v>
      </c>
      <c r="K25" s="1496">
        <v>3.28</v>
      </c>
      <c r="L25" s="1497">
        <v>1.36</v>
      </c>
      <c r="N25" s="1499">
        <f t="shared" si="76"/>
        <v>2.9700000000000001E-2</v>
      </c>
      <c r="O25" s="1500">
        <f t="shared" si="71"/>
        <v>2.3399999999999997E-2</v>
      </c>
      <c r="P25" s="1500">
        <f t="shared" si="71"/>
        <v>3.2799999999999996E-2</v>
      </c>
      <c r="Q25" s="1500">
        <f t="shared" si="71"/>
        <v>1.3600000000000001E-2</v>
      </c>
      <c r="R25" s="1501"/>
      <c r="S25" s="1502">
        <f>B25/B26-1</f>
        <v>2.7910129219355539E-2</v>
      </c>
      <c r="T25" s="1503">
        <f>C25/C26-1</f>
        <v>2.3037937762975247E-2</v>
      </c>
      <c r="U25" s="1503">
        <f>E25/E26-1</f>
        <v>3.3519033243940788E-2</v>
      </c>
      <c r="V25" s="1503">
        <f>F25/F26-1</f>
        <v>1.2061818076502862E-2</v>
      </c>
      <c r="W25" s="1504" t="s">
        <v>1158</v>
      </c>
      <c r="X25" s="1505">
        <v>1</v>
      </c>
      <c r="Y25" s="1505">
        <v>1</v>
      </c>
      <c r="Z25" s="1505">
        <v>1</v>
      </c>
      <c r="AA25" s="1505">
        <v>1</v>
      </c>
      <c r="AB25" s="1505">
        <v>1</v>
      </c>
      <c r="AD25" s="1727">
        <f>I25/100</f>
        <v>2.9700000000000001E-2</v>
      </c>
      <c r="AE25" s="1727">
        <f>J25/100</f>
        <v>2.3399999999999997E-2</v>
      </c>
      <c r="AF25" s="1727">
        <f>AE25</f>
        <v>2.3399999999999997E-2</v>
      </c>
      <c r="AG25" s="1727">
        <f>K25/100</f>
        <v>3.2799999999999996E-2</v>
      </c>
      <c r="AH25" s="1727">
        <f>L25/100</f>
        <v>1.3600000000000001E-2</v>
      </c>
    </row>
    <row r="26" spans="1:34" ht="13.5" thickBot="1">
      <c r="A26" s="1461" t="s">
        <v>1159</v>
      </c>
      <c r="B26" s="1469">
        <v>299</v>
      </c>
      <c r="C26" s="1469">
        <v>252</v>
      </c>
      <c r="D26" s="1469">
        <f t="shared" si="74"/>
        <v>252</v>
      </c>
      <c r="E26" s="1469">
        <v>409</v>
      </c>
      <c r="F26" s="1470">
        <v>227</v>
      </c>
      <c r="G26" s="3475">
        <v>2013</v>
      </c>
      <c r="H26" s="1506">
        <v>4</v>
      </c>
      <c r="I26" s="1506">
        <v>1.83</v>
      </c>
      <c r="J26" s="1506">
        <v>1.68</v>
      </c>
      <c r="K26" s="1506">
        <v>1.97</v>
      </c>
      <c r="L26" s="1507">
        <v>0.87</v>
      </c>
      <c r="N26" s="1484">
        <f t="shared" si="76"/>
        <v>1.83E-2</v>
      </c>
      <c r="O26" s="1485">
        <f t="shared" si="71"/>
        <v>1.6799999999999999E-2</v>
      </c>
      <c r="P26" s="1485">
        <f t="shared" si="71"/>
        <v>1.9699999999999999E-2</v>
      </c>
      <c r="Q26" s="1485">
        <f t="shared" si="71"/>
        <v>8.6999999999999994E-3</v>
      </c>
      <c r="R26" s="1474"/>
      <c r="S26" s="1475"/>
      <c r="T26" s="1476"/>
      <c r="U26" s="1476"/>
      <c r="V26" s="1476"/>
      <c r="X26" s="1476"/>
      <c r="Y26" s="1476"/>
      <c r="Z26" s="1476"/>
    </row>
    <row r="27" spans="1:34">
      <c r="A27" s="1461" t="s">
        <v>1160</v>
      </c>
      <c r="B27" s="1477">
        <f t="shared" ref="B27:C29" si="83">B26/(1+N26)</f>
        <v>293.62663262299913</v>
      </c>
      <c r="C27" s="1477">
        <f t="shared" si="83"/>
        <v>247.83634933123525</v>
      </c>
      <c r="D27" s="1477">
        <f t="shared" si="74"/>
        <v>247.83634933123525</v>
      </c>
      <c r="E27" s="1477">
        <f t="shared" ref="E27:F29" si="84">E26/(1+P26)</f>
        <v>401.09836226341076</v>
      </c>
      <c r="F27" s="1477">
        <f t="shared" si="84"/>
        <v>225.04213343908003</v>
      </c>
      <c r="G27" s="3476"/>
      <c r="H27" s="1487">
        <v>3</v>
      </c>
      <c r="I27" s="1487">
        <v>1.86</v>
      </c>
      <c r="J27" s="1487">
        <v>1.72</v>
      </c>
      <c r="K27" s="1487">
        <v>1.98</v>
      </c>
      <c r="L27" s="1488">
        <v>0.88</v>
      </c>
      <c r="N27" s="1472">
        <f t="shared" si="76"/>
        <v>1.8600000000000002E-2</v>
      </c>
      <c r="O27" s="1489">
        <f t="shared" si="71"/>
        <v>1.72E-2</v>
      </c>
      <c r="P27" s="1489">
        <f t="shared" si="71"/>
        <v>1.9799999999999998E-2</v>
      </c>
      <c r="Q27" s="1489">
        <f t="shared" si="71"/>
        <v>8.8000000000000005E-3</v>
      </c>
      <c r="R27" s="1474"/>
      <c r="S27" s="1472"/>
      <c r="T27" s="1473"/>
      <c r="U27" s="1473"/>
      <c r="V27" s="1473"/>
    </row>
    <row r="28" spans="1:34">
      <c r="A28" s="1461" t="s">
        <v>1161</v>
      </c>
      <c r="B28" s="1477">
        <f t="shared" si="83"/>
        <v>288.2649053828776</v>
      </c>
      <c r="C28" s="1477">
        <f t="shared" si="83"/>
        <v>243.64564425013293</v>
      </c>
      <c r="D28" s="1477">
        <f t="shared" si="74"/>
        <v>243.64564425013293</v>
      </c>
      <c r="E28" s="1477">
        <f t="shared" si="84"/>
        <v>393.31080825986544</v>
      </c>
      <c r="F28" s="1477">
        <f t="shared" si="84"/>
        <v>223.07903790551154</v>
      </c>
      <c r="G28" s="3476"/>
      <c r="H28" s="1465">
        <v>2</v>
      </c>
      <c r="I28" s="1465">
        <v>2.04</v>
      </c>
      <c r="J28" s="1465">
        <v>2.33</v>
      </c>
      <c r="K28" s="1465">
        <v>2.0699999999999998</v>
      </c>
      <c r="L28" s="1479">
        <v>0.69</v>
      </c>
      <c r="N28" s="1472">
        <f t="shared" si="76"/>
        <v>2.0400000000000001E-2</v>
      </c>
      <c r="O28" s="1489">
        <f t="shared" si="71"/>
        <v>2.3300000000000001E-2</v>
      </c>
      <c r="P28" s="1489">
        <f t="shared" si="71"/>
        <v>2.07E-2</v>
      </c>
      <c r="Q28" s="1489">
        <f t="shared" si="71"/>
        <v>6.8999999999999999E-3</v>
      </c>
      <c r="R28" s="1474"/>
      <c r="S28" s="1472"/>
      <c r="T28" s="1473"/>
      <c r="U28" s="1473"/>
      <c r="V28" s="1473"/>
      <c r="X28" s="1508"/>
      <c r="Y28" s="1509"/>
    </row>
    <row r="29" spans="1:34">
      <c r="A29" s="1461" t="s">
        <v>1162</v>
      </c>
      <c r="B29" s="1477">
        <f t="shared" si="83"/>
        <v>282.50186729015837</v>
      </c>
      <c r="C29" s="1477">
        <f t="shared" si="83"/>
        <v>238.09796174155468</v>
      </c>
      <c r="D29" s="1477">
        <f t="shared" si="74"/>
        <v>238.09796174155468</v>
      </c>
      <c r="E29" s="1477">
        <f t="shared" si="84"/>
        <v>385.33438646014054</v>
      </c>
      <c r="F29" s="1477">
        <f t="shared" si="84"/>
        <v>221.55034055567739</v>
      </c>
      <c r="G29" s="3477"/>
      <c r="H29" s="1464">
        <v>1</v>
      </c>
      <c r="I29" s="1464">
        <v>1.67</v>
      </c>
      <c r="J29" s="1464">
        <v>1.31</v>
      </c>
      <c r="K29" s="1464">
        <v>1.85</v>
      </c>
      <c r="L29" s="1478">
        <v>0.96</v>
      </c>
      <c r="N29" s="1480">
        <f t="shared" si="76"/>
        <v>1.67E-2</v>
      </c>
      <c r="O29" s="1481">
        <f t="shared" si="76"/>
        <v>1.3100000000000001E-2</v>
      </c>
      <c r="P29" s="1481">
        <f t="shared" si="76"/>
        <v>1.8500000000000003E-2</v>
      </c>
      <c r="Q29" s="1481">
        <f t="shared" si="76"/>
        <v>9.5999999999999992E-3</v>
      </c>
      <c r="R29" s="1474"/>
      <c r="S29" s="1480">
        <f>B29/B30-1</f>
        <v>1.6193767230785472E-2</v>
      </c>
      <c r="T29" s="1481">
        <f>C29/C30-1</f>
        <v>1.7512657015190891E-2</v>
      </c>
      <c r="U29" s="1481">
        <f>E29/E30-1</f>
        <v>1.6713420739157048E-2</v>
      </c>
      <c r="V29" s="1481">
        <f>F29/F30-1</f>
        <v>7.0470025258062563E-3</v>
      </c>
      <c r="X29" s="1510"/>
      <c r="Y29" s="1460"/>
      <c r="Z29" s="1460"/>
    </row>
    <row r="30" spans="1:34" ht="13.5" thickBot="1">
      <c r="A30" s="1461" t="s">
        <v>1163</v>
      </c>
      <c r="B30" s="1511">
        <v>278</v>
      </c>
      <c r="C30" s="1511">
        <v>234</v>
      </c>
      <c r="D30" s="1511">
        <f t="shared" si="74"/>
        <v>234</v>
      </c>
      <c r="E30" s="1511">
        <v>379</v>
      </c>
      <c r="F30" s="1512">
        <v>220</v>
      </c>
      <c r="G30" s="3470">
        <v>2012</v>
      </c>
      <c r="H30" s="1482">
        <v>4</v>
      </c>
      <c r="I30" s="1482">
        <v>0.91</v>
      </c>
      <c r="J30" s="1482">
        <v>0.68</v>
      </c>
      <c r="K30" s="1482">
        <v>0.98</v>
      </c>
      <c r="L30" s="1483">
        <v>0.9</v>
      </c>
      <c r="N30" s="1472">
        <f t="shared" si="76"/>
        <v>9.1000000000000004E-3</v>
      </c>
      <c r="O30" s="1473">
        <f t="shared" si="76"/>
        <v>6.8000000000000005E-3</v>
      </c>
      <c r="P30" s="1473">
        <f t="shared" si="76"/>
        <v>9.7999999999999997E-3</v>
      </c>
      <c r="Q30" s="1473">
        <f t="shared" si="76"/>
        <v>9.0000000000000011E-3</v>
      </c>
      <c r="R30" s="1474"/>
      <c r="S30" s="1475"/>
      <c r="T30" s="1476"/>
      <c r="U30" s="1476"/>
      <c r="V30" s="1476"/>
      <c r="X30" s="1476"/>
      <c r="Y30" s="1476"/>
      <c r="Z30" s="1476"/>
    </row>
    <row r="31" spans="1:34">
      <c r="A31" s="1461" t="s">
        <v>1164</v>
      </c>
      <c r="B31" s="1477">
        <f>B30/(1+N30)</f>
        <v>275.49301357645425</v>
      </c>
      <c r="C31" s="1477">
        <f>C30/(1+O30)</f>
        <v>232.41954707985698</v>
      </c>
      <c r="D31" s="1477">
        <f t="shared" si="74"/>
        <v>232.41954707985698</v>
      </c>
      <c r="E31" s="1477">
        <f t="shared" ref="E31:F33" si="85">E30/(1+P30)</f>
        <v>375.32184591008121</v>
      </c>
      <c r="F31" s="1477">
        <f t="shared" si="85"/>
        <v>218.03766105054513</v>
      </c>
      <c r="G31" s="3471"/>
      <c r="H31" s="1487">
        <v>3</v>
      </c>
      <c r="I31" s="1487">
        <v>0.09</v>
      </c>
      <c r="J31" s="1487">
        <v>0.28999999999999998</v>
      </c>
      <c r="K31" s="1487">
        <v>-0.01</v>
      </c>
      <c r="L31" s="1488">
        <v>0.57999999999999996</v>
      </c>
      <c r="N31" s="1472">
        <f t="shared" si="76"/>
        <v>8.9999999999999998E-4</v>
      </c>
      <c r="O31" s="1473">
        <f t="shared" si="76"/>
        <v>2.8999999999999998E-3</v>
      </c>
      <c r="P31" s="1473">
        <f t="shared" si="76"/>
        <v>-1E-4</v>
      </c>
      <c r="Q31" s="1473">
        <f t="shared" si="76"/>
        <v>5.7999999999999996E-3</v>
      </c>
      <c r="R31" s="1474"/>
      <c r="S31" s="1472"/>
      <c r="T31" s="1473"/>
      <c r="U31" s="1473"/>
      <c r="V31" s="1473"/>
    </row>
    <row r="32" spans="1:34">
      <c r="A32" s="1461" t="s">
        <v>1165</v>
      </c>
      <c r="B32" s="1477">
        <f>B31/(1+N31)</f>
        <v>275.24529281292263</v>
      </c>
      <c r="C32" s="1477">
        <f>C31/(1+O31)</f>
        <v>231.74747938962707</v>
      </c>
      <c r="D32" s="1477">
        <f t="shared" si="74"/>
        <v>231.74747938962707</v>
      </c>
      <c r="E32" s="1477">
        <f t="shared" si="85"/>
        <v>375.35938184826603</v>
      </c>
      <c r="F32" s="1477">
        <f t="shared" si="85"/>
        <v>216.78033510692495</v>
      </c>
      <c r="G32" s="3471"/>
      <c r="H32" s="1465">
        <v>2</v>
      </c>
      <c r="I32" s="1465">
        <v>0.02</v>
      </c>
      <c r="J32" s="1465">
        <v>0.12</v>
      </c>
      <c r="K32" s="1465">
        <v>-0.08</v>
      </c>
      <c r="L32" s="1479">
        <v>1.24</v>
      </c>
      <c r="N32" s="1472">
        <f t="shared" si="76"/>
        <v>2.0000000000000001E-4</v>
      </c>
      <c r="O32" s="1473">
        <f t="shared" si="76"/>
        <v>1.1999999999999999E-3</v>
      </c>
      <c r="P32" s="1473">
        <f t="shared" si="76"/>
        <v>-8.0000000000000004E-4</v>
      </c>
      <c r="Q32" s="1473">
        <f t="shared" si="76"/>
        <v>1.24E-2</v>
      </c>
      <c r="R32" s="1474"/>
      <c r="S32" s="1472"/>
      <c r="T32" s="1473"/>
      <c r="U32" s="1473"/>
      <c r="V32" s="1473"/>
    </row>
    <row r="33" spans="1:26" ht="13.5" thickBot="1">
      <c r="A33" s="1461" t="s">
        <v>1166</v>
      </c>
      <c r="B33" s="1477">
        <f>B32/(1+N32)</f>
        <v>275.19025476197027</v>
      </c>
      <c r="C33" s="1513">
        <v>232</v>
      </c>
      <c r="D33" s="1513">
        <f t="shared" si="74"/>
        <v>232</v>
      </c>
      <c r="E33" s="1477">
        <f t="shared" si="85"/>
        <v>375.65990977608692</v>
      </c>
      <c r="F33" s="1477">
        <f t="shared" si="85"/>
        <v>214.12518283971252</v>
      </c>
      <c r="G33" s="3472"/>
      <c r="H33" s="1464">
        <v>1</v>
      </c>
      <c r="I33" s="1464">
        <v>0.02</v>
      </c>
      <c r="J33" s="1464">
        <v>0.13</v>
      </c>
      <c r="K33" s="1464">
        <v>-0.04</v>
      </c>
      <c r="L33" s="1478">
        <v>0.46</v>
      </c>
      <c r="N33" s="1472">
        <f t="shared" si="76"/>
        <v>2.0000000000000001E-4</v>
      </c>
      <c r="O33" s="1473">
        <f t="shared" si="76"/>
        <v>1.2999999999999999E-3</v>
      </c>
      <c r="P33" s="1473">
        <f t="shared" si="76"/>
        <v>-4.0000000000000002E-4</v>
      </c>
      <c r="Q33" s="1473">
        <f t="shared" si="76"/>
        <v>4.5999999999999999E-3</v>
      </c>
      <c r="R33" s="1474"/>
      <c r="S33" s="1480">
        <f>B33/B34-1</f>
        <v>6.9183549807361189E-4</v>
      </c>
      <c r="T33" s="1481">
        <f>C33/C34-1</f>
        <v>0</v>
      </c>
      <c r="U33" s="1481">
        <f>E33/E34-1</f>
        <v>-9.0449527636460303E-4</v>
      </c>
      <c r="V33" s="1481">
        <f>F33/F34-1</f>
        <v>5.2825485432512753E-3</v>
      </c>
      <c r="X33" s="1460"/>
      <c r="Y33" s="1460"/>
      <c r="Z33" s="1460"/>
    </row>
    <row r="34" spans="1:26" ht="13.5" thickBot="1">
      <c r="A34" s="1461" t="s">
        <v>1167</v>
      </c>
      <c r="B34" s="1469">
        <v>275</v>
      </c>
      <c r="C34" s="1469">
        <v>232</v>
      </c>
      <c r="D34" s="1469">
        <f t="shared" si="74"/>
        <v>232</v>
      </c>
      <c r="E34" s="1469">
        <v>376</v>
      </c>
      <c r="F34" s="1470">
        <v>213</v>
      </c>
      <c r="G34" s="3470">
        <v>2011</v>
      </c>
      <c r="H34" s="1482">
        <v>4</v>
      </c>
      <c r="I34" s="1482">
        <v>-0.2</v>
      </c>
      <c r="J34" s="1482">
        <v>0.04</v>
      </c>
      <c r="K34" s="1482">
        <v>-0.34</v>
      </c>
      <c r="L34" s="1483">
        <v>0.46</v>
      </c>
      <c r="N34" s="1484">
        <f t="shared" si="76"/>
        <v>-2E-3</v>
      </c>
      <c r="O34" s="1485">
        <f t="shared" si="76"/>
        <v>4.0000000000000002E-4</v>
      </c>
      <c r="P34" s="1485">
        <f t="shared" si="76"/>
        <v>-3.4000000000000002E-3</v>
      </c>
      <c r="Q34" s="1485">
        <f t="shared" si="76"/>
        <v>4.5999999999999999E-3</v>
      </c>
      <c r="R34" s="1474"/>
      <c r="S34" s="1475"/>
      <c r="T34" s="1476"/>
      <c r="U34" s="1476"/>
      <c r="V34" s="1476"/>
      <c r="X34" s="1476"/>
      <c r="Y34" s="1476"/>
      <c r="Z34" s="1476"/>
    </row>
    <row r="35" spans="1:26">
      <c r="A35" s="1461" t="s">
        <v>1168</v>
      </c>
      <c r="B35" s="1477">
        <f t="shared" ref="B35:C37" si="86">B34/(1+N34)</f>
        <v>275.55110220440883</v>
      </c>
      <c r="C35" s="1477">
        <f t="shared" si="86"/>
        <v>231.90723710515795</v>
      </c>
      <c r="D35" s="1477">
        <f t="shared" si="74"/>
        <v>231.90723710515795</v>
      </c>
      <c r="E35" s="1477">
        <f t="shared" ref="E35:F37" si="87">E34/(1+P34)</f>
        <v>377.28276138872161</v>
      </c>
      <c r="F35" s="1477">
        <f t="shared" si="87"/>
        <v>212.02468644236512</v>
      </c>
      <c r="G35" s="3471">
        <v>2011</v>
      </c>
      <c r="H35" s="1487">
        <v>3</v>
      </c>
      <c r="I35" s="1487">
        <v>0.13</v>
      </c>
      <c r="J35" s="1487">
        <v>0.75</v>
      </c>
      <c r="K35" s="1487">
        <v>-0.08</v>
      </c>
      <c r="L35" s="1488">
        <v>0.53</v>
      </c>
      <c r="N35" s="1472">
        <f t="shared" si="76"/>
        <v>1.2999999999999999E-3</v>
      </c>
      <c r="O35" s="1489">
        <f t="shared" si="76"/>
        <v>7.4999999999999997E-3</v>
      </c>
      <c r="P35" s="1489">
        <f t="shared" si="76"/>
        <v>-8.0000000000000004E-4</v>
      </c>
      <c r="Q35" s="1489">
        <f t="shared" si="76"/>
        <v>5.3E-3</v>
      </c>
      <c r="R35" s="1474"/>
      <c r="S35" s="1472"/>
      <c r="T35" s="1473"/>
      <c r="U35" s="1473"/>
      <c r="V35" s="1473"/>
    </row>
    <row r="36" spans="1:26">
      <c r="A36" s="1461" t="s">
        <v>1169</v>
      </c>
      <c r="B36" s="1477">
        <f t="shared" si="86"/>
        <v>275.19335084830601</v>
      </c>
      <c r="C36" s="1477">
        <f t="shared" si="86"/>
        <v>230.18088050139744</v>
      </c>
      <c r="D36" s="1477">
        <f t="shared" si="74"/>
        <v>230.18088050139744</v>
      </c>
      <c r="E36" s="1477">
        <f t="shared" si="87"/>
        <v>377.58482925212331</v>
      </c>
      <c r="F36" s="1477">
        <f t="shared" si="87"/>
        <v>210.90687997847917</v>
      </c>
      <c r="G36" s="3471">
        <v>2011</v>
      </c>
      <c r="H36" s="1465">
        <v>2</v>
      </c>
      <c r="I36" s="1465">
        <v>-0.4</v>
      </c>
      <c r="J36" s="1465">
        <v>0.17</v>
      </c>
      <c r="K36" s="1465">
        <v>-0.57999999999999996</v>
      </c>
      <c r="L36" s="1479">
        <v>-0.2</v>
      </c>
      <c r="N36" s="1472">
        <f t="shared" si="76"/>
        <v>-4.0000000000000001E-3</v>
      </c>
      <c r="O36" s="1489">
        <f t="shared" si="76"/>
        <v>1.7000000000000001E-3</v>
      </c>
      <c r="P36" s="1489">
        <f t="shared" si="76"/>
        <v>-5.7999999999999996E-3</v>
      </c>
      <c r="Q36" s="1489">
        <f t="shared" si="76"/>
        <v>-2E-3</v>
      </c>
      <c r="R36" s="1474"/>
      <c r="S36" s="1472"/>
      <c r="T36" s="1473"/>
      <c r="U36" s="1473"/>
      <c r="V36" s="1473"/>
    </row>
    <row r="37" spans="1:26" ht="13.5" thickBot="1">
      <c r="A37" s="1461" t="s">
        <v>1170</v>
      </c>
      <c r="B37" s="1477">
        <f t="shared" si="86"/>
        <v>276.29854502841971</v>
      </c>
      <c r="C37" s="1477">
        <f t="shared" si="86"/>
        <v>229.79023709833027</v>
      </c>
      <c r="D37" s="1477">
        <f t="shared" si="74"/>
        <v>229.79023709833027</v>
      </c>
      <c r="E37" s="1477">
        <f t="shared" si="87"/>
        <v>379.78759731655936</v>
      </c>
      <c r="F37" s="1477">
        <f t="shared" si="87"/>
        <v>211.32953905659235</v>
      </c>
      <c r="G37" s="3472">
        <v>2011</v>
      </c>
      <c r="H37" s="1464">
        <v>1</v>
      </c>
      <c r="I37" s="1464">
        <v>2.65</v>
      </c>
      <c r="J37" s="1464">
        <v>3.76</v>
      </c>
      <c r="K37" s="1464">
        <v>1.89</v>
      </c>
      <c r="L37" s="1478">
        <v>7.95</v>
      </c>
      <c r="N37" s="1480">
        <f t="shared" si="76"/>
        <v>2.6499999999999999E-2</v>
      </c>
      <c r="O37" s="1481">
        <f t="shared" si="76"/>
        <v>3.7599999999999995E-2</v>
      </c>
      <c r="P37" s="1481">
        <f t="shared" si="76"/>
        <v>1.89E-2</v>
      </c>
      <c r="Q37" s="1481">
        <f t="shared" si="76"/>
        <v>7.9500000000000001E-2</v>
      </c>
      <c r="R37" s="1474"/>
      <c r="S37" s="1480">
        <f>B37/B38-1</f>
        <v>2.713213765211786E-2</v>
      </c>
      <c r="T37" s="1481">
        <f>C37/C38-1</f>
        <v>3.9774828499231862E-2</v>
      </c>
      <c r="U37" s="1481">
        <f>E37/E38-1</f>
        <v>1.8197311840641772E-2</v>
      </c>
      <c r="V37" s="1481">
        <f>F37/F38-1</f>
        <v>7.8211933962205826E-2</v>
      </c>
      <c r="X37" s="1460"/>
      <c r="Y37" s="1460"/>
      <c r="Z37" s="1460"/>
    </row>
    <row r="38" spans="1:26" ht="13.5" thickBot="1">
      <c r="A38" s="1461" t="s">
        <v>1171</v>
      </c>
      <c r="B38" s="1469">
        <v>269</v>
      </c>
      <c r="C38" s="1469">
        <v>221</v>
      </c>
      <c r="D38" s="1469">
        <f t="shared" si="74"/>
        <v>221</v>
      </c>
      <c r="E38" s="1469">
        <v>373</v>
      </c>
      <c r="F38" s="1470">
        <v>196</v>
      </c>
      <c r="G38" s="3470">
        <v>2010</v>
      </c>
      <c r="H38" s="1482">
        <v>4</v>
      </c>
      <c r="I38" s="1482">
        <v>5.72</v>
      </c>
      <c r="J38" s="1482">
        <v>6.57</v>
      </c>
      <c r="K38" s="1482">
        <v>5.72</v>
      </c>
      <c r="L38" s="1483">
        <v>2.72</v>
      </c>
      <c r="N38" s="1472">
        <f t="shared" si="76"/>
        <v>5.7200000000000001E-2</v>
      </c>
      <c r="O38" s="1473">
        <f t="shared" si="76"/>
        <v>6.5700000000000008E-2</v>
      </c>
      <c r="P38" s="1473">
        <f t="shared" si="76"/>
        <v>5.7200000000000001E-2</v>
      </c>
      <c r="Q38" s="1473">
        <f t="shared" si="76"/>
        <v>2.7200000000000002E-2</v>
      </c>
      <c r="R38" s="1474"/>
      <c r="S38" s="1475"/>
      <c r="T38" s="1476"/>
      <c r="U38" s="1476"/>
      <c r="V38" s="1476"/>
      <c r="X38" s="1476"/>
      <c r="Y38" s="1476"/>
      <c r="Z38" s="1476"/>
    </row>
    <row r="39" spans="1:26">
      <c r="A39" s="1461" t="s">
        <v>1172</v>
      </c>
      <c r="B39" s="1477">
        <f t="shared" ref="B39:C41" si="88">B38/(1+N38)</f>
        <v>254.44570563753314</v>
      </c>
      <c r="C39" s="1477">
        <f t="shared" si="88"/>
        <v>207.37543398705074</v>
      </c>
      <c r="D39" s="1477">
        <f t="shared" si="74"/>
        <v>207.37543398705074</v>
      </c>
      <c r="E39" s="1477">
        <f t="shared" ref="E39:F41" si="89">E38/(1+P38)</f>
        <v>352.81876655315932</v>
      </c>
      <c r="F39" s="1477">
        <f t="shared" si="89"/>
        <v>190.809968847352</v>
      </c>
      <c r="G39" s="3471">
        <v>2010</v>
      </c>
      <c r="H39" s="1487">
        <v>3</v>
      </c>
      <c r="I39" s="1487">
        <v>4.7300000000000004</v>
      </c>
      <c r="J39" s="1487">
        <v>3.9</v>
      </c>
      <c r="K39" s="1487">
        <v>5.03</v>
      </c>
      <c r="L39" s="1488">
        <v>4.21</v>
      </c>
      <c r="N39" s="1472">
        <f t="shared" si="76"/>
        <v>4.7300000000000002E-2</v>
      </c>
      <c r="O39" s="1473">
        <f t="shared" si="76"/>
        <v>3.9E-2</v>
      </c>
      <c r="P39" s="1473">
        <f t="shared" si="76"/>
        <v>5.0300000000000004E-2</v>
      </c>
      <c r="Q39" s="1473">
        <f t="shared" si="76"/>
        <v>4.2099999999999999E-2</v>
      </c>
      <c r="R39" s="1474"/>
      <c r="S39" s="1472"/>
      <c r="T39" s="1473"/>
      <c r="U39" s="1473"/>
      <c r="V39" s="1473"/>
    </row>
    <row r="40" spans="1:26">
      <c r="A40" s="1461" t="s">
        <v>1173</v>
      </c>
      <c r="B40" s="1477">
        <f t="shared" si="88"/>
        <v>242.95398227588385</v>
      </c>
      <c r="C40" s="1477">
        <f t="shared" si="88"/>
        <v>199.59137053614126</v>
      </c>
      <c r="D40" s="1477">
        <f t="shared" si="74"/>
        <v>199.59137053614126</v>
      </c>
      <c r="E40" s="1477">
        <f t="shared" si="89"/>
        <v>335.92189522342125</v>
      </c>
      <c r="F40" s="1477">
        <f t="shared" si="89"/>
        <v>183.10139991109489</v>
      </c>
      <c r="G40" s="3471">
        <v>2010</v>
      </c>
      <c r="H40" s="1465">
        <v>2</v>
      </c>
      <c r="I40" s="1465">
        <v>4.6900000000000004</v>
      </c>
      <c r="J40" s="1465">
        <v>3.55</v>
      </c>
      <c r="K40" s="1465">
        <v>5.07</v>
      </c>
      <c r="L40" s="1479">
        <v>4.2300000000000004</v>
      </c>
      <c r="N40" s="1472">
        <f t="shared" si="76"/>
        <v>4.6900000000000004E-2</v>
      </c>
      <c r="O40" s="1473">
        <f t="shared" si="76"/>
        <v>3.5499999999999997E-2</v>
      </c>
      <c r="P40" s="1473">
        <f t="shared" si="76"/>
        <v>5.0700000000000002E-2</v>
      </c>
      <c r="Q40" s="1473">
        <f t="shared" si="76"/>
        <v>4.2300000000000004E-2</v>
      </c>
      <c r="R40" s="1474"/>
      <c r="S40" s="1472"/>
      <c r="T40" s="1473"/>
      <c r="U40" s="1473"/>
      <c r="V40" s="1473"/>
    </row>
    <row r="41" spans="1:26" ht="13.5" thickBot="1">
      <c r="A41" s="1461" t="s">
        <v>1174</v>
      </c>
      <c r="B41" s="1477">
        <f t="shared" si="88"/>
        <v>232.06990378821649</v>
      </c>
      <c r="C41" s="1477">
        <f t="shared" si="88"/>
        <v>192.74878854286936</v>
      </c>
      <c r="D41" s="1477">
        <f t="shared" si="74"/>
        <v>192.74878854286936</v>
      </c>
      <c r="E41" s="1477">
        <f t="shared" si="89"/>
        <v>319.71247284992984</v>
      </c>
      <c r="F41" s="1477">
        <f t="shared" si="89"/>
        <v>175.67053622862409</v>
      </c>
      <c r="G41" s="3472">
        <v>2010</v>
      </c>
      <c r="H41" s="1464">
        <v>1</v>
      </c>
      <c r="I41" s="1464">
        <v>5.4</v>
      </c>
      <c r="J41" s="1464">
        <v>3.2</v>
      </c>
      <c r="K41" s="1464">
        <v>6.16</v>
      </c>
      <c r="L41" s="1478">
        <v>4.51</v>
      </c>
      <c r="N41" s="1472">
        <f t="shared" si="76"/>
        <v>5.4000000000000006E-2</v>
      </c>
      <c r="O41" s="1473">
        <f t="shared" si="76"/>
        <v>3.2000000000000001E-2</v>
      </c>
      <c r="P41" s="1473">
        <f t="shared" si="76"/>
        <v>6.1600000000000002E-2</v>
      </c>
      <c r="Q41" s="1473">
        <f t="shared" si="76"/>
        <v>4.5100000000000001E-2</v>
      </c>
      <c r="R41" s="1474"/>
      <c r="S41" s="1480">
        <f>B41/B42-1</f>
        <v>5.4863199037347599E-2</v>
      </c>
      <c r="T41" s="1481">
        <f>C41/C42-1</f>
        <v>3.0742184721226584E-2</v>
      </c>
      <c r="U41" s="1481">
        <f>E41/E42-1</f>
        <v>6.2167683886810154E-2</v>
      </c>
      <c r="V41" s="1481">
        <f>F41/F42-1</f>
        <v>4.5657953741810031E-2</v>
      </c>
      <c r="X41" s="1460"/>
      <c r="Y41" s="1460"/>
      <c r="Z41" s="1460"/>
    </row>
    <row r="42" spans="1:26" ht="13.5" thickBot="1">
      <c r="A42" s="1461" t="s">
        <v>1175</v>
      </c>
      <c r="B42" s="1469">
        <v>220</v>
      </c>
      <c r="C42" s="1469">
        <v>187</v>
      </c>
      <c r="D42" s="1469">
        <f t="shared" si="74"/>
        <v>187</v>
      </c>
      <c r="E42" s="1469">
        <v>301</v>
      </c>
      <c r="F42" s="1470">
        <v>168</v>
      </c>
      <c r="G42" s="3470">
        <v>2009</v>
      </c>
      <c r="H42" s="1482">
        <v>4</v>
      </c>
      <c r="I42" s="1482">
        <v>2.2999999999999998</v>
      </c>
      <c r="J42" s="1482">
        <v>1.04</v>
      </c>
      <c r="K42" s="1482">
        <v>2.84</v>
      </c>
      <c r="L42" s="1483">
        <v>0.67</v>
      </c>
      <c r="N42" s="1484">
        <f t="shared" si="76"/>
        <v>2.3E-2</v>
      </c>
      <c r="O42" s="1485">
        <f t="shared" si="76"/>
        <v>1.04E-2</v>
      </c>
      <c r="P42" s="1485">
        <f t="shared" si="76"/>
        <v>2.8399999999999998E-2</v>
      </c>
      <c r="Q42" s="1485">
        <f t="shared" si="76"/>
        <v>6.7000000000000002E-3</v>
      </c>
      <c r="R42" s="1474"/>
      <c r="S42" s="1475"/>
      <c r="T42" s="1476"/>
      <c r="U42" s="1476"/>
      <c r="V42" s="1476"/>
      <c r="X42" s="1476"/>
      <c r="Y42" s="1476"/>
      <c r="Z42" s="1476"/>
    </row>
    <row r="43" spans="1:26">
      <c r="A43" s="1461" t="s">
        <v>1176</v>
      </c>
      <c r="B43" s="1477">
        <f t="shared" ref="B43:C45" si="90">B42/(1+N42)</f>
        <v>215.05376344086022</v>
      </c>
      <c r="C43" s="1477">
        <f t="shared" si="90"/>
        <v>185.0752177355503</v>
      </c>
      <c r="D43" s="1477">
        <f t="shared" si="74"/>
        <v>185.0752177355503</v>
      </c>
      <c r="E43" s="1477">
        <f t="shared" ref="E43:F45" si="91">E42/(1+P42)</f>
        <v>292.68767016725008</v>
      </c>
      <c r="F43" s="1477">
        <f t="shared" si="91"/>
        <v>166.88189132810174</v>
      </c>
      <c r="G43" s="3471">
        <v>2009</v>
      </c>
      <c r="H43" s="1487">
        <v>3</v>
      </c>
      <c r="I43" s="1487">
        <v>2.1</v>
      </c>
      <c r="J43" s="1487">
        <v>1.86</v>
      </c>
      <c r="K43" s="1487">
        <v>2.29</v>
      </c>
      <c r="L43" s="1488">
        <v>0.85</v>
      </c>
      <c r="N43" s="1472">
        <f t="shared" si="76"/>
        <v>2.1000000000000001E-2</v>
      </c>
      <c r="O43" s="1489">
        <f t="shared" si="76"/>
        <v>1.8600000000000002E-2</v>
      </c>
      <c r="P43" s="1489">
        <f t="shared" si="76"/>
        <v>2.29E-2</v>
      </c>
      <c r="Q43" s="1489">
        <f t="shared" si="76"/>
        <v>8.5000000000000006E-3</v>
      </c>
      <c r="R43" s="1474"/>
      <c r="S43" s="1472"/>
      <c r="T43" s="1473"/>
      <c r="U43" s="1473"/>
      <c r="V43" s="1473"/>
    </row>
    <row r="44" spans="1:26">
      <c r="A44" s="1461" t="s">
        <v>1177</v>
      </c>
      <c r="B44" s="1477">
        <f t="shared" si="90"/>
        <v>210.630522469011</v>
      </c>
      <c r="C44" s="1477">
        <f t="shared" si="90"/>
        <v>181.69567812247232</v>
      </c>
      <c r="D44" s="1477">
        <f t="shared" si="74"/>
        <v>181.69567812247232</v>
      </c>
      <c r="E44" s="1477">
        <f t="shared" si="91"/>
        <v>286.13517466736738</v>
      </c>
      <c r="F44" s="1477">
        <f t="shared" si="91"/>
        <v>165.47535084591149</v>
      </c>
      <c r="G44" s="3471">
        <v>2009</v>
      </c>
      <c r="H44" s="1465">
        <v>2</v>
      </c>
      <c r="I44" s="1465">
        <v>0.86</v>
      </c>
      <c r="J44" s="1465">
        <v>-1.1299999999999999</v>
      </c>
      <c r="K44" s="1465">
        <v>1.79</v>
      </c>
      <c r="L44" s="1479">
        <v>-2.0699999999999998</v>
      </c>
      <c r="N44" s="1472">
        <f t="shared" si="76"/>
        <v>8.6E-3</v>
      </c>
      <c r="O44" s="1489">
        <f t="shared" si="76"/>
        <v>-1.1299999999999999E-2</v>
      </c>
      <c r="P44" s="1489">
        <f t="shared" si="76"/>
        <v>1.7899999999999999E-2</v>
      </c>
      <c r="Q44" s="1489">
        <f t="shared" si="76"/>
        <v>-2.07E-2</v>
      </c>
      <c r="R44" s="1474"/>
      <c r="S44" s="1472"/>
      <c r="T44" s="1473"/>
      <c r="U44" s="1473"/>
      <c r="V44" s="1473"/>
    </row>
    <row r="45" spans="1:26">
      <c r="A45" s="1461" t="s">
        <v>1178</v>
      </c>
      <c r="B45" s="1477">
        <f t="shared" si="90"/>
        <v>208.83454537875372</v>
      </c>
      <c r="C45" s="1477">
        <f t="shared" si="90"/>
        <v>183.77230517090351</v>
      </c>
      <c r="D45" s="1477">
        <f t="shared" si="74"/>
        <v>183.77230517090351</v>
      </c>
      <c r="E45" s="1477">
        <f t="shared" si="91"/>
        <v>281.10342338870947</v>
      </c>
      <c r="F45" s="1477">
        <f t="shared" si="91"/>
        <v>168.97309388942256</v>
      </c>
      <c r="G45" s="3472">
        <v>2009</v>
      </c>
      <c r="H45" s="1464">
        <v>1</v>
      </c>
      <c r="I45" s="1464">
        <v>-2.64</v>
      </c>
      <c r="J45" s="1464">
        <v>-2.5299999999999998</v>
      </c>
      <c r="K45" s="1464">
        <v>-3.02</v>
      </c>
      <c r="L45" s="1478">
        <v>1.52</v>
      </c>
      <c r="N45" s="1480">
        <f t="shared" si="76"/>
        <v>-2.64E-2</v>
      </c>
      <c r="O45" s="1481">
        <f t="shared" si="76"/>
        <v>-2.53E-2</v>
      </c>
      <c r="P45" s="1481">
        <f t="shared" si="76"/>
        <v>-3.0200000000000001E-2</v>
      </c>
      <c r="Q45" s="1481">
        <f t="shared" si="76"/>
        <v>1.52E-2</v>
      </c>
      <c r="R45" s="1474"/>
      <c r="S45" s="1480">
        <f>B45/B46-1</f>
        <v>-2.4137638417038754E-2</v>
      </c>
      <c r="T45" s="1481">
        <f>C45/C46-1</f>
        <v>-2.248773845264096E-2</v>
      </c>
      <c r="U45" s="1481">
        <f>E45/E46-1</f>
        <v>-2.7323794502735366E-2</v>
      </c>
      <c r="V45" s="1481">
        <f>F45/F46-1</f>
        <v>1.7910204153148035E-2</v>
      </c>
      <c r="X45" s="1460"/>
      <c r="Y45" s="1460"/>
      <c r="Z45" s="1460"/>
    </row>
    <row r="46" spans="1:26" ht="13.5" thickBot="1">
      <c r="A46" s="1461" t="s">
        <v>1179</v>
      </c>
      <c r="B46" s="1511">
        <v>214</v>
      </c>
      <c r="C46" s="1511">
        <v>188</v>
      </c>
      <c r="D46" s="1511">
        <f t="shared" si="74"/>
        <v>188</v>
      </c>
      <c r="E46" s="1511">
        <v>289</v>
      </c>
      <c r="F46" s="1512">
        <v>166</v>
      </c>
      <c r="G46" s="3470">
        <v>2008</v>
      </c>
      <c r="H46" s="1482">
        <v>4</v>
      </c>
      <c r="I46" s="1482">
        <v>1.73</v>
      </c>
      <c r="J46" s="1482">
        <v>0.03</v>
      </c>
      <c r="K46" s="1482">
        <v>2.59</v>
      </c>
      <c r="L46" s="1483">
        <v>-1.66</v>
      </c>
      <c r="N46" s="1472">
        <f t="shared" si="76"/>
        <v>1.7299999999999999E-2</v>
      </c>
      <c r="O46" s="1473">
        <f t="shared" si="76"/>
        <v>2.9999999999999997E-4</v>
      </c>
      <c r="P46" s="1473">
        <f t="shared" si="76"/>
        <v>2.5899999999999999E-2</v>
      </c>
      <c r="Q46" s="1473">
        <f t="shared" si="76"/>
        <v>-1.66E-2</v>
      </c>
      <c r="R46" s="1474"/>
      <c r="S46" s="1475"/>
      <c r="T46" s="1476"/>
      <c r="U46" s="1476"/>
      <c r="V46" s="1476"/>
      <c r="X46" s="1476"/>
      <c r="Y46" s="1476"/>
      <c r="Z46" s="1476"/>
    </row>
    <row r="47" spans="1:26">
      <c r="A47" s="1461" t="s">
        <v>1180</v>
      </c>
      <c r="B47" s="1477">
        <f t="shared" ref="B47:C49" si="92">B46/(1+N46)</f>
        <v>210.36075887152265</v>
      </c>
      <c r="C47" s="1477">
        <f t="shared" si="92"/>
        <v>187.94361691492554</v>
      </c>
      <c r="D47" s="1477">
        <f t="shared" si="74"/>
        <v>187.94361691492554</v>
      </c>
      <c r="E47" s="1477">
        <f t="shared" ref="E47:F49" si="93">E46/(1+P46)</f>
        <v>281.70386977288234</v>
      </c>
      <c r="F47" s="1477">
        <f t="shared" si="93"/>
        <v>168.80211511083994</v>
      </c>
      <c r="G47" s="3471">
        <v>2008</v>
      </c>
      <c r="H47" s="1487">
        <v>3</v>
      </c>
      <c r="I47" s="1487">
        <v>1.96</v>
      </c>
      <c r="J47" s="1487">
        <v>2.36</v>
      </c>
      <c r="K47" s="1487">
        <v>1.82</v>
      </c>
      <c r="L47" s="1488">
        <v>2.2200000000000002</v>
      </c>
      <c r="N47" s="1472">
        <f t="shared" si="76"/>
        <v>1.9599999999999999E-2</v>
      </c>
      <c r="O47" s="1473">
        <f t="shared" si="76"/>
        <v>2.3599999999999999E-2</v>
      </c>
      <c r="P47" s="1473">
        <f t="shared" si="76"/>
        <v>1.8200000000000001E-2</v>
      </c>
      <c r="Q47" s="1473">
        <f t="shared" si="76"/>
        <v>2.2200000000000001E-2</v>
      </c>
      <c r="R47" s="1474"/>
      <c r="S47" s="1472"/>
      <c r="T47" s="1473"/>
      <c r="U47" s="1473"/>
      <c r="V47" s="1473"/>
    </row>
    <row r="48" spans="1:26">
      <c r="A48" s="1461" t="s">
        <v>1181</v>
      </c>
      <c r="B48" s="1477">
        <f t="shared" si="92"/>
        <v>206.31694671589116</v>
      </c>
      <c r="C48" s="1477">
        <f t="shared" si="92"/>
        <v>183.61041121036101</v>
      </c>
      <c r="D48" s="1477">
        <f t="shared" si="74"/>
        <v>183.61041121036101</v>
      </c>
      <c r="E48" s="1477">
        <f t="shared" si="93"/>
        <v>276.66850301795557</v>
      </c>
      <c r="F48" s="1477">
        <f t="shared" si="93"/>
        <v>165.1360938278614</v>
      </c>
      <c r="G48" s="3471">
        <v>2008</v>
      </c>
      <c r="H48" s="1465">
        <v>2</v>
      </c>
      <c r="I48" s="1465">
        <v>4.93</v>
      </c>
      <c r="J48" s="1465">
        <v>7.38</v>
      </c>
      <c r="K48" s="1465">
        <v>3.98</v>
      </c>
      <c r="L48" s="1479">
        <v>6.86</v>
      </c>
      <c r="N48" s="1472">
        <f t="shared" si="76"/>
        <v>4.9299999999999997E-2</v>
      </c>
      <c r="O48" s="1473">
        <f t="shared" si="76"/>
        <v>7.3800000000000004E-2</v>
      </c>
      <c r="P48" s="1473">
        <f t="shared" si="76"/>
        <v>3.9800000000000002E-2</v>
      </c>
      <c r="Q48" s="1473">
        <f t="shared" si="76"/>
        <v>6.8600000000000008E-2</v>
      </c>
      <c r="R48" s="1474"/>
      <c r="S48" s="1472"/>
      <c r="T48" s="1473"/>
      <c r="U48" s="1473"/>
      <c r="V48" s="1473"/>
    </row>
    <row r="49" spans="1:26" s="1517" customFormat="1" ht="13.5" thickBot="1">
      <c r="A49" s="1461" t="s">
        <v>1182</v>
      </c>
      <c r="B49" s="1514">
        <f t="shared" si="92"/>
        <v>196.62341248059772</v>
      </c>
      <c r="C49" s="1514">
        <f t="shared" si="92"/>
        <v>170.99125648199012</v>
      </c>
      <c r="D49" s="1514">
        <f t="shared" si="74"/>
        <v>170.99125648199012</v>
      </c>
      <c r="E49" s="1514">
        <f t="shared" si="93"/>
        <v>266.07857570490052</v>
      </c>
      <c r="F49" s="1514">
        <f t="shared" si="93"/>
        <v>154.53499328828505</v>
      </c>
      <c r="G49" s="3472">
        <v>2008</v>
      </c>
      <c r="H49" s="1515">
        <v>1</v>
      </c>
      <c r="I49" s="1515">
        <v>4.1399999999999997</v>
      </c>
      <c r="J49" s="1515">
        <v>3.45</v>
      </c>
      <c r="K49" s="1515">
        <v>4.95</v>
      </c>
      <c r="L49" s="1516">
        <v>4.82</v>
      </c>
      <c r="N49" s="1518">
        <f t="shared" si="76"/>
        <v>4.1399999999999999E-2</v>
      </c>
      <c r="O49" s="1519">
        <f t="shared" si="76"/>
        <v>3.4500000000000003E-2</v>
      </c>
      <c r="P49" s="1519">
        <f t="shared" si="76"/>
        <v>4.9500000000000002E-2</v>
      </c>
      <c r="Q49" s="1519">
        <f t="shared" si="76"/>
        <v>4.82E-2</v>
      </c>
      <c r="R49" s="1520"/>
      <c r="S49" s="1518">
        <f>B49/B50-1</f>
        <v>4.5869215322328349E-2</v>
      </c>
      <c r="T49" s="1519">
        <f>C49/C50-1</f>
        <v>3.6310645345394743E-2</v>
      </c>
      <c r="U49" s="1519">
        <f>E49/E50-1</f>
        <v>4.7553447657088688E-2</v>
      </c>
      <c r="V49" s="1519">
        <f>F49/F50-1</f>
        <v>4.4155360055980086E-2</v>
      </c>
      <c r="X49" s="1521"/>
      <c r="Y49" s="1521"/>
      <c r="Z49" s="1521"/>
    </row>
    <row r="50" spans="1:26" ht="13.5" thickBot="1">
      <c r="A50" s="1461" t="s">
        <v>1183</v>
      </c>
      <c r="B50" s="1469">
        <v>188</v>
      </c>
      <c r="C50" s="1469">
        <v>165</v>
      </c>
      <c r="D50" s="1469">
        <f t="shared" si="74"/>
        <v>165</v>
      </c>
      <c r="E50" s="1469">
        <v>254</v>
      </c>
      <c r="F50" s="1470">
        <v>148</v>
      </c>
      <c r="G50" s="3470">
        <v>2007</v>
      </c>
      <c r="H50" s="1522">
        <v>4</v>
      </c>
      <c r="I50" s="1522">
        <v>5.51</v>
      </c>
      <c r="J50" s="1522">
        <v>4.8899999999999997</v>
      </c>
      <c r="K50" s="1522">
        <v>6.43</v>
      </c>
      <c r="L50" s="1523">
        <v>5.36</v>
      </c>
      <c r="N50" s="1524">
        <f t="shared" ref="N50:O53" si="94">B50/B51-1</f>
        <v>4.1339718365245526E-2</v>
      </c>
      <c r="O50" s="1525">
        <f t="shared" si="94"/>
        <v>4.0324492593776018E-2</v>
      </c>
      <c r="P50" s="1525">
        <f t="shared" ref="P50:Q53" si="95">E50/E51-1</f>
        <v>6.1625555347990968E-2</v>
      </c>
      <c r="Q50" s="1525">
        <f t="shared" si="95"/>
        <v>4.6757569250590603E-2</v>
      </c>
      <c r="R50" s="1474"/>
      <c r="S50" s="1475"/>
      <c r="T50" s="1476"/>
      <c r="U50" s="1476"/>
      <c r="V50" s="1476"/>
      <c r="X50" s="1476"/>
      <c r="Y50" s="1476"/>
      <c r="Z50" s="1476"/>
    </row>
    <row r="51" spans="1:26">
      <c r="A51" s="1461" t="s">
        <v>1184</v>
      </c>
      <c r="B51" s="1477">
        <f t="shared" ref="B51:C53" si="96">B52+(B$50-B$54)*I51/SUM(I$50:I$53)</f>
        <v>180.5366651097618</v>
      </c>
      <c r="C51" s="1477">
        <f t="shared" si="96"/>
        <v>158.60435967302453</v>
      </c>
      <c r="D51" s="1477">
        <f t="shared" si="74"/>
        <v>158.60435967302453</v>
      </c>
      <c r="E51" s="1477">
        <f t="shared" ref="E51:F53" si="97">E52+(E$50-E$54)*K51/SUM(K$50:K$53)</f>
        <v>239.25573260785075</v>
      </c>
      <c r="F51" s="1477">
        <f t="shared" si="97"/>
        <v>141.38899430740037</v>
      </c>
      <c r="G51" s="3471">
        <v>2007</v>
      </c>
      <c r="H51" s="1487">
        <v>3</v>
      </c>
      <c r="I51" s="1487">
        <v>8.65</v>
      </c>
      <c r="J51" s="1487">
        <v>8.06</v>
      </c>
      <c r="K51" s="1487">
        <v>9.94</v>
      </c>
      <c r="L51" s="1488">
        <v>5.8</v>
      </c>
      <c r="N51" s="1524">
        <f t="shared" si="94"/>
        <v>6.940217571740015E-2</v>
      </c>
      <c r="O51" s="1525">
        <f t="shared" si="94"/>
        <v>7.1197482471153428E-2</v>
      </c>
      <c r="P51" s="1525">
        <f t="shared" si="95"/>
        <v>0.10529679922579582</v>
      </c>
      <c r="Q51" s="1525">
        <f t="shared" si="95"/>
        <v>5.3292245059512133E-2</v>
      </c>
      <c r="R51" s="1474"/>
      <c r="S51" s="1472"/>
      <c r="T51" s="1473"/>
      <c r="U51" s="1473"/>
      <c r="V51" s="1473"/>
      <c r="X51" s="1526"/>
      <c r="Y51" s="1526"/>
      <c r="Z51" s="1526"/>
    </row>
    <row r="52" spans="1:26">
      <c r="A52" s="1461" t="s">
        <v>1185</v>
      </c>
      <c r="B52" s="1477">
        <f t="shared" si="96"/>
        <v>168.82017748715555</v>
      </c>
      <c r="C52" s="1477">
        <f t="shared" si="96"/>
        <v>148.06267029972753</v>
      </c>
      <c r="D52" s="1477">
        <f t="shared" si="74"/>
        <v>148.06267029972753</v>
      </c>
      <c r="E52" s="1477">
        <f t="shared" si="97"/>
        <v>216.46288379323747</v>
      </c>
      <c r="F52" s="1477">
        <f t="shared" si="97"/>
        <v>134.23529411764704</v>
      </c>
      <c r="G52" s="3471">
        <v>2007</v>
      </c>
      <c r="H52" s="1465">
        <v>2</v>
      </c>
      <c r="I52" s="1465">
        <v>3.67</v>
      </c>
      <c r="J52" s="1465">
        <v>2.3199999999999998</v>
      </c>
      <c r="K52" s="1465">
        <v>5.0199999999999996</v>
      </c>
      <c r="L52" s="1479">
        <v>6.71</v>
      </c>
      <c r="N52" s="1524">
        <f t="shared" si="94"/>
        <v>3.0339138143848032E-2</v>
      </c>
      <c r="O52" s="1525">
        <f t="shared" si="94"/>
        <v>2.0922341588790472E-2</v>
      </c>
      <c r="P52" s="1525">
        <f t="shared" si="95"/>
        <v>5.6164796592717003E-2</v>
      </c>
      <c r="Q52" s="1525">
        <f t="shared" si="95"/>
        <v>6.5704536723887319E-2</v>
      </c>
      <c r="R52" s="1474"/>
      <c r="S52" s="1472"/>
      <c r="T52" s="1473"/>
      <c r="U52" s="1473"/>
      <c r="V52" s="1473"/>
      <c r="X52" s="1526"/>
      <c r="Y52" s="1526"/>
      <c r="Z52" s="1526"/>
    </row>
    <row r="53" spans="1:26">
      <c r="A53" s="1461" t="s">
        <v>1186</v>
      </c>
      <c r="B53" s="1477">
        <f t="shared" si="96"/>
        <v>163.84913591779542</v>
      </c>
      <c r="C53" s="1477">
        <f t="shared" si="96"/>
        <v>145.0283378746594</v>
      </c>
      <c r="D53" s="1477">
        <f t="shared" si="74"/>
        <v>145.0283378746594</v>
      </c>
      <c r="E53" s="1477">
        <f t="shared" si="97"/>
        <v>204.95180722891567</v>
      </c>
      <c r="F53" s="1477">
        <f t="shared" si="97"/>
        <v>125.95920303605313</v>
      </c>
      <c r="G53" s="3472">
        <v>2007</v>
      </c>
      <c r="H53" s="1464">
        <v>1</v>
      </c>
      <c r="I53" s="1464">
        <v>3.58</v>
      </c>
      <c r="J53" s="1464">
        <v>3.08</v>
      </c>
      <c r="K53" s="1464">
        <v>4.34</v>
      </c>
      <c r="L53" s="1478">
        <v>3.21</v>
      </c>
      <c r="N53" s="1527">
        <f t="shared" si="94"/>
        <v>3.0497710174814063E-2</v>
      </c>
      <c r="O53" s="1528">
        <f t="shared" si="94"/>
        <v>2.8569772160704998E-2</v>
      </c>
      <c r="P53" s="1528">
        <f t="shared" si="95"/>
        <v>5.1034908866234296E-2</v>
      </c>
      <c r="Q53" s="1528">
        <f t="shared" si="95"/>
        <v>3.245248390207478E-2</v>
      </c>
      <c r="R53" s="1474"/>
      <c r="S53" s="1480">
        <f>B53/B54-1</f>
        <v>3.0497710174814063E-2</v>
      </c>
      <c r="T53" s="1481">
        <f>C53/C54-1</f>
        <v>2.8569772160704998E-2</v>
      </c>
      <c r="U53" s="1481">
        <f>E53/E54-1</f>
        <v>5.1034908866234296E-2</v>
      </c>
      <c r="V53" s="1481">
        <f>F53/F54-1</f>
        <v>3.245248390207478E-2</v>
      </c>
      <c r="X53" s="1526"/>
      <c r="Y53" s="1526"/>
      <c r="Z53" s="1526"/>
    </row>
    <row r="54" spans="1:26" ht="13.5" thickBot="1">
      <c r="A54" s="1461" t="s">
        <v>1187</v>
      </c>
      <c r="B54" s="1490">
        <v>159</v>
      </c>
      <c r="C54" s="1490">
        <v>141</v>
      </c>
      <c r="D54" s="1490">
        <f t="shared" si="74"/>
        <v>141</v>
      </c>
      <c r="E54" s="1490">
        <v>195</v>
      </c>
      <c r="F54" s="1491">
        <v>122</v>
      </c>
      <c r="G54" s="3470">
        <v>2006</v>
      </c>
      <c r="H54" s="1482">
        <v>4</v>
      </c>
      <c r="I54" s="1482">
        <v>3.79</v>
      </c>
      <c r="J54" s="1482">
        <v>2.21</v>
      </c>
      <c r="K54" s="1482">
        <v>5.65</v>
      </c>
      <c r="L54" s="1483">
        <v>5.41</v>
      </c>
      <c r="N54" s="1524">
        <f t="shared" ref="N54:O57" si="98">I54/SUM(I$54:I$57)*(B$54/B$58-1)</f>
        <v>7.245466462748526E-2</v>
      </c>
      <c r="O54" s="1525">
        <f t="shared" si="98"/>
        <v>2.3237230038062766E-2</v>
      </c>
      <c r="P54" s="1525">
        <f t="shared" ref="P54:Q57" si="99">K54/SUM(K$54:K$57)*(E$54/E$58-1)</f>
        <v>0.16146893866323722</v>
      </c>
      <c r="Q54" s="1525">
        <f t="shared" si="99"/>
        <v>5.0755230321793784E-2</v>
      </c>
      <c r="R54" s="1474"/>
      <c r="S54" s="1475"/>
      <c r="T54" s="1476"/>
      <c r="U54" s="1476"/>
      <c r="V54" s="1476"/>
      <c r="X54" s="1526"/>
      <c r="Y54" s="1526"/>
      <c r="Z54" s="1526"/>
    </row>
    <row r="55" spans="1:26">
      <c r="A55" s="1461" t="s">
        <v>1188</v>
      </c>
      <c r="B55" s="1477">
        <f t="shared" ref="B55:C57" si="100">B56+(B$54-B$58)*I55/SUM(I$54:I$57)</f>
        <v>149.00125628140702</v>
      </c>
      <c r="C55" s="1477">
        <f t="shared" si="100"/>
        <v>137.95592286501378</v>
      </c>
      <c r="D55" s="1477">
        <f t="shared" si="74"/>
        <v>137.95592286501378</v>
      </c>
      <c r="E55" s="1477">
        <f t="shared" ref="E55:F57" si="101">E56+(E$54-E$58)*K55/SUM(K$54:K$57)</f>
        <v>169.97231450719823</v>
      </c>
      <c r="F55" s="1477">
        <f t="shared" si="101"/>
        <v>116.21390374331551</v>
      </c>
      <c r="G55" s="3471">
        <v>2006</v>
      </c>
      <c r="H55" s="1487">
        <v>3</v>
      </c>
      <c r="I55" s="1487">
        <v>0.92</v>
      </c>
      <c r="J55" s="1487">
        <v>1.08</v>
      </c>
      <c r="K55" s="1487">
        <v>0.73</v>
      </c>
      <c r="L55" s="1488">
        <v>1.08</v>
      </c>
      <c r="N55" s="1524">
        <f t="shared" si="98"/>
        <v>1.7587939698492462E-2</v>
      </c>
      <c r="O55" s="1525">
        <f t="shared" si="98"/>
        <v>1.1355750425840628E-2</v>
      </c>
      <c r="P55" s="1525">
        <f t="shared" si="99"/>
        <v>2.0862358446754544E-2</v>
      </c>
      <c r="Q55" s="1525">
        <f t="shared" si="99"/>
        <v>1.0132282578103011E-2</v>
      </c>
      <c r="R55" s="1474"/>
      <c r="S55" s="1472"/>
      <c r="T55" s="1473"/>
      <c r="U55" s="1473"/>
      <c r="V55" s="1473"/>
      <c r="X55" s="1526"/>
      <c r="Y55" s="1526"/>
      <c r="Z55" s="1526"/>
    </row>
    <row r="56" spans="1:26">
      <c r="A56" s="1461" t="s">
        <v>1189</v>
      </c>
      <c r="B56" s="1477">
        <f t="shared" si="100"/>
        <v>146.57412060301507</v>
      </c>
      <c r="C56" s="1477">
        <f t="shared" si="100"/>
        <v>136.46831955922866</v>
      </c>
      <c r="D56" s="1477">
        <f t="shared" si="74"/>
        <v>136.46831955922866</v>
      </c>
      <c r="E56" s="1477">
        <f t="shared" si="101"/>
        <v>166.73864894795128</v>
      </c>
      <c r="F56" s="1477">
        <f t="shared" si="101"/>
        <v>115.05882352941177</v>
      </c>
      <c r="G56" s="3471">
        <v>2006</v>
      </c>
      <c r="H56" s="1465">
        <v>2</v>
      </c>
      <c r="I56" s="1465">
        <v>0.96</v>
      </c>
      <c r="J56" s="1465">
        <v>0.25</v>
      </c>
      <c r="K56" s="1465">
        <v>1.9</v>
      </c>
      <c r="L56" s="1479">
        <v>0.95</v>
      </c>
      <c r="N56" s="1524">
        <f t="shared" si="98"/>
        <v>1.8352632728861701E-2</v>
      </c>
      <c r="O56" s="1525">
        <f t="shared" si="98"/>
        <v>2.6286459319075526E-3</v>
      </c>
      <c r="P56" s="1525">
        <f t="shared" si="99"/>
        <v>5.4299289107991269E-2</v>
      </c>
      <c r="Q56" s="1525">
        <f t="shared" si="99"/>
        <v>8.9126559714794995E-3</v>
      </c>
      <c r="R56" s="1474"/>
      <c r="S56" s="1472"/>
      <c r="T56" s="1473"/>
      <c r="U56" s="1473"/>
      <c r="V56" s="1473"/>
      <c r="X56" s="1526"/>
      <c r="Y56" s="1526"/>
      <c r="Z56" s="1526"/>
    </row>
    <row r="57" spans="1:26">
      <c r="A57" s="1461" t="s">
        <v>1190</v>
      </c>
      <c r="B57" s="1477">
        <f t="shared" si="100"/>
        <v>144.04145728643215</v>
      </c>
      <c r="C57" s="1477">
        <f t="shared" si="100"/>
        <v>136.12396694214877</v>
      </c>
      <c r="D57" s="1477">
        <f t="shared" si="74"/>
        <v>136.12396694214877</v>
      </c>
      <c r="E57" s="1477">
        <f t="shared" si="101"/>
        <v>158.32225913621264</v>
      </c>
      <c r="F57" s="1477">
        <f t="shared" si="101"/>
        <v>114.04278074866311</v>
      </c>
      <c r="G57" s="3472">
        <v>2006</v>
      </c>
      <c r="H57" s="1464">
        <v>1</v>
      </c>
      <c r="I57" s="1464">
        <v>2.29</v>
      </c>
      <c r="J57" s="1464">
        <v>3.72</v>
      </c>
      <c r="K57" s="1464">
        <v>0.75</v>
      </c>
      <c r="L57" s="1478">
        <v>0.04</v>
      </c>
      <c r="N57" s="1527">
        <f t="shared" si="98"/>
        <v>4.3778675988638847E-2</v>
      </c>
      <c r="O57" s="1528">
        <f t="shared" si="98"/>
        <v>3.9114251466784385E-2</v>
      </c>
      <c r="P57" s="1528">
        <f t="shared" si="99"/>
        <v>2.1433929911049188E-2</v>
      </c>
      <c r="Q57" s="1528">
        <f t="shared" si="99"/>
        <v>3.7526972511492629E-4</v>
      </c>
      <c r="R57" s="1474"/>
      <c r="S57" s="1480">
        <f>B57/B58-1</f>
        <v>4.3778675988638716E-2</v>
      </c>
      <c r="T57" s="1481">
        <f>C57/C58-1</f>
        <v>3.91142514667846E-2</v>
      </c>
      <c r="U57" s="1481">
        <f>E57/E58-1</f>
        <v>2.143392991104931E-2</v>
      </c>
      <c r="V57" s="1481">
        <f>F57/F58-1</f>
        <v>3.7526972511492396E-4</v>
      </c>
      <c r="X57" s="1526"/>
      <c r="Y57" s="1526"/>
      <c r="Z57" s="1526"/>
    </row>
    <row r="58" spans="1:26" ht="13.5" thickBot="1">
      <c r="A58" s="1461" t="s">
        <v>1191</v>
      </c>
      <c r="B58" s="1490">
        <v>138</v>
      </c>
      <c r="C58" s="1490">
        <v>131</v>
      </c>
      <c r="D58" s="1490">
        <f t="shared" si="74"/>
        <v>131</v>
      </c>
      <c r="E58" s="1490">
        <v>155</v>
      </c>
      <c r="F58" s="1491">
        <v>114</v>
      </c>
      <c r="G58" s="3470">
        <v>2005</v>
      </c>
      <c r="H58" s="1482">
        <v>4</v>
      </c>
      <c r="I58" s="1482">
        <v>3.29</v>
      </c>
      <c r="J58" s="1482">
        <v>1.44</v>
      </c>
      <c r="K58" s="1482">
        <v>0.66</v>
      </c>
      <c r="L58" s="1483">
        <v>7.78</v>
      </c>
      <c r="N58" s="1524">
        <f t="shared" ref="N58:O61" si="102">I58/SUM(I$58:I$61)*(B$58/B$62-1)</f>
        <v>9.9404603216919935E-2</v>
      </c>
      <c r="O58" s="1525">
        <f t="shared" si="102"/>
        <v>4.7636550760861554E-2</v>
      </c>
      <c r="P58" s="1525">
        <f t="shared" ref="P58:Q61" si="103">K58/SUM(K$58:K$61)*(E$58/E$62-1)</f>
        <v>8.3756345177664976E-2</v>
      </c>
      <c r="Q58" s="1525">
        <f t="shared" si="103"/>
        <v>5.2148766661559584E-2</v>
      </c>
      <c r="R58" s="1474"/>
      <c r="S58" s="1475"/>
      <c r="T58" s="1476"/>
      <c r="U58" s="1476"/>
      <c r="V58" s="1476"/>
      <c r="X58" s="1526"/>
      <c r="Y58" s="1526"/>
      <c r="Z58" s="1526"/>
    </row>
    <row r="59" spans="1:26">
      <c r="A59" s="1461" t="s">
        <v>1192</v>
      </c>
      <c r="B59" s="1477">
        <f t="shared" ref="B59:C61" si="104">B60+(B$58-B$62)*I59/SUM(I$58:I$61)</f>
        <v>125.9720430107527</v>
      </c>
      <c r="C59" s="1477">
        <f t="shared" si="104"/>
        <v>125.1883408071749</v>
      </c>
      <c r="D59" s="1477">
        <f t="shared" si="74"/>
        <v>125.1883408071749</v>
      </c>
      <c r="E59" s="1477">
        <f t="shared" ref="E59:F61" si="105">E60+(E$58-E$62)*K59/SUM(K$58:K$61)</f>
        <v>144.61421319796952</v>
      </c>
      <c r="F59" s="1477">
        <f t="shared" si="105"/>
        <v>108.42008196721311</v>
      </c>
      <c r="G59" s="3471">
        <v>2005</v>
      </c>
      <c r="H59" s="1487">
        <v>3</v>
      </c>
      <c r="I59" s="1487">
        <v>0.46</v>
      </c>
      <c r="J59" s="1487">
        <v>0.32</v>
      </c>
      <c r="K59" s="1487">
        <v>0.42</v>
      </c>
      <c r="L59" s="1488">
        <v>0.64</v>
      </c>
      <c r="N59" s="1524">
        <f t="shared" si="102"/>
        <v>1.3898515951301874E-2</v>
      </c>
      <c r="O59" s="1525">
        <f t="shared" si="102"/>
        <v>1.0585900169080346E-2</v>
      </c>
      <c r="P59" s="1525">
        <f t="shared" si="103"/>
        <v>5.3299492385786795E-2</v>
      </c>
      <c r="Q59" s="1525">
        <f t="shared" si="103"/>
        <v>4.2898728359123568E-3</v>
      </c>
      <c r="R59" s="1474"/>
      <c r="S59" s="1472"/>
      <c r="T59" s="1473"/>
      <c r="U59" s="1473"/>
      <c r="V59" s="1473"/>
      <c r="X59" s="1526"/>
      <c r="Y59" s="1526"/>
      <c r="Z59" s="1526"/>
    </row>
    <row r="60" spans="1:26">
      <c r="A60" s="1461" t="s">
        <v>1193</v>
      </c>
      <c r="B60" s="1477">
        <f t="shared" si="104"/>
        <v>124.29032258064517</v>
      </c>
      <c r="C60" s="1477">
        <f t="shared" si="104"/>
        <v>123.8968609865471</v>
      </c>
      <c r="D60" s="1477">
        <f t="shared" si="74"/>
        <v>123.8968609865471</v>
      </c>
      <c r="E60" s="1477">
        <f t="shared" si="105"/>
        <v>138.00507614213197</v>
      </c>
      <c r="F60" s="1477">
        <f t="shared" si="105"/>
        <v>107.96106557377048</v>
      </c>
      <c r="G60" s="3471">
        <v>2005</v>
      </c>
      <c r="H60" s="1465">
        <v>2</v>
      </c>
      <c r="I60" s="1465">
        <v>0.47</v>
      </c>
      <c r="J60" s="1465">
        <v>0.1</v>
      </c>
      <c r="K60" s="1465">
        <v>0.52</v>
      </c>
      <c r="L60" s="1479">
        <v>0.79</v>
      </c>
      <c r="N60" s="1524">
        <f t="shared" si="102"/>
        <v>1.420065760241713E-2</v>
      </c>
      <c r="O60" s="1525">
        <f t="shared" si="102"/>
        <v>3.3080938028376083E-3</v>
      </c>
      <c r="P60" s="1525">
        <f t="shared" si="103"/>
        <v>6.598984771573603E-2</v>
      </c>
      <c r="Q60" s="1525">
        <f t="shared" si="103"/>
        <v>5.2953117818293153E-3</v>
      </c>
      <c r="R60" s="1474"/>
      <c r="S60" s="1472"/>
      <c r="T60" s="1473"/>
      <c r="U60" s="1473"/>
      <c r="V60" s="1473"/>
      <c r="X60" s="1526"/>
      <c r="Y60" s="1526"/>
      <c r="Z60" s="1526"/>
    </row>
    <row r="61" spans="1:26">
      <c r="A61" s="1461" t="s">
        <v>1194</v>
      </c>
      <c r="B61" s="1477">
        <f t="shared" si="104"/>
        <v>122.57204301075269</v>
      </c>
      <c r="C61" s="1477">
        <f t="shared" si="104"/>
        <v>123.4932735426009</v>
      </c>
      <c r="D61" s="1477">
        <f t="shared" si="74"/>
        <v>123.4932735426009</v>
      </c>
      <c r="E61" s="1477">
        <f t="shared" si="105"/>
        <v>129.82233502538071</v>
      </c>
      <c r="F61" s="1477">
        <f t="shared" si="105"/>
        <v>107.39446721311475</v>
      </c>
      <c r="G61" s="3472">
        <v>2005</v>
      </c>
      <c r="H61" s="1464">
        <v>1</v>
      </c>
      <c r="I61" s="1464">
        <v>0.43</v>
      </c>
      <c r="J61" s="1464">
        <v>0.37</v>
      </c>
      <c r="K61" s="1464">
        <v>0.37</v>
      </c>
      <c r="L61" s="1478">
        <v>0.55000000000000004</v>
      </c>
      <c r="N61" s="1527">
        <f t="shared" si="102"/>
        <v>1.2992090997956099E-2</v>
      </c>
      <c r="O61" s="1528">
        <f t="shared" si="102"/>
        <v>1.2239947070499151E-2</v>
      </c>
      <c r="P61" s="1528">
        <f t="shared" si="103"/>
        <v>4.6954314720812178E-2</v>
      </c>
      <c r="Q61" s="1528">
        <f t="shared" si="103"/>
        <v>3.6866094683621815E-3</v>
      </c>
      <c r="R61" s="1474"/>
      <c r="S61" s="1480">
        <f>B61/B62-1</f>
        <v>1.2992090997956174E-2</v>
      </c>
      <c r="T61" s="1481">
        <f>C61/C62-1</f>
        <v>1.2239947070499246E-2</v>
      </c>
      <c r="U61" s="1481">
        <f>E61/E62-1</f>
        <v>4.695431472081224E-2</v>
      </c>
      <c r="V61" s="1481">
        <f>F61/F62-1</f>
        <v>3.6866094683620787E-3</v>
      </c>
      <c r="X61" s="1526"/>
      <c r="Y61" s="1526"/>
      <c r="Z61" s="1526"/>
    </row>
    <row r="62" spans="1:26" ht="13.5" thickBot="1">
      <c r="A62" s="1461" t="s">
        <v>1195</v>
      </c>
      <c r="B62" s="1511">
        <v>121</v>
      </c>
      <c r="C62" s="1511">
        <v>122</v>
      </c>
      <c r="D62" s="1511">
        <f t="shared" si="74"/>
        <v>122</v>
      </c>
      <c r="E62" s="1511">
        <v>124</v>
      </c>
      <c r="F62" s="1512">
        <v>107</v>
      </c>
      <c r="G62" s="3470">
        <v>2004</v>
      </c>
      <c r="H62" s="1482">
        <v>4</v>
      </c>
      <c r="I62" s="1482">
        <v>0.33</v>
      </c>
      <c r="J62" s="1482">
        <v>0.5</v>
      </c>
      <c r="K62" s="1482">
        <v>0.5</v>
      </c>
      <c r="L62" s="1483">
        <v>0</v>
      </c>
      <c r="N62" s="1524">
        <f t="shared" ref="N62:O65" si="106">I62/SUM(I$62:I$65)*(B$62/B$66-1)</f>
        <v>1.3391770148526898E-2</v>
      </c>
      <c r="O62" s="1525">
        <f t="shared" si="106"/>
        <v>1.063264221158958E-2</v>
      </c>
      <c r="P62" s="1525">
        <f t="shared" ref="P62:Q65" si="107">K62/SUM(K$62:K$65)*(E$62/E$66-1)</f>
        <v>2.2244466688911134E-2</v>
      </c>
      <c r="Q62" s="1525">
        <f t="shared" si="107"/>
        <v>0</v>
      </c>
      <c r="R62" s="1474"/>
      <c r="S62" s="1475"/>
      <c r="T62" s="1476"/>
      <c r="U62" s="1476"/>
      <c r="V62" s="1476"/>
      <c r="X62" s="1526"/>
      <c r="Y62" s="1526"/>
      <c r="Z62" s="1526"/>
    </row>
    <row r="63" spans="1:26">
      <c r="A63" s="1461" t="s">
        <v>1196</v>
      </c>
      <c r="B63" s="1477">
        <f t="shared" ref="B63:C65" si="108">B64+(B$62-B$66)*I63/SUM(I$62:I$65)</f>
        <v>119.51351351351352</v>
      </c>
      <c r="C63" s="1477">
        <f t="shared" si="108"/>
        <v>120.7878787878788</v>
      </c>
      <c r="D63" s="1477">
        <f t="shared" si="74"/>
        <v>120.7878787878788</v>
      </c>
      <c r="E63" s="1477">
        <f t="shared" ref="E63:F65" si="109">E64+(E$62-E$66)*K63/SUM(K$62:K$65)</f>
        <v>121.5975975975976</v>
      </c>
      <c r="F63" s="1477">
        <f t="shared" si="109"/>
        <v>107</v>
      </c>
      <c r="G63" s="3471">
        <v>2004</v>
      </c>
      <c r="H63" s="1487">
        <v>3</v>
      </c>
      <c r="I63" s="1487">
        <v>0.56000000000000005</v>
      </c>
      <c r="J63" s="1487">
        <v>0.8</v>
      </c>
      <c r="K63" s="1487">
        <v>0.83</v>
      </c>
      <c r="L63" s="1488">
        <v>0.06</v>
      </c>
      <c r="N63" s="1524">
        <f t="shared" si="106"/>
        <v>2.2725428130833527E-2</v>
      </c>
      <c r="O63" s="1525">
        <f t="shared" si="106"/>
        <v>1.7012227538543329E-2</v>
      </c>
      <c r="P63" s="1525">
        <f t="shared" si="107"/>
        <v>3.6925814703592477E-2</v>
      </c>
      <c r="Q63" s="1525">
        <f t="shared" si="107"/>
        <v>2.8846153846153744E-2</v>
      </c>
      <c r="R63" s="1474"/>
      <c r="S63" s="1472"/>
      <c r="T63" s="1473"/>
      <c r="U63" s="1473"/>
      <c r="V63" s="1473"/>
      <c r="X63" s="1526"/>
      <c r="Y63" s="1526"/>
      <c r="Z63" s="1526"/>
    </row>
    <row r="64" spans="1:26">
      <c r="A64" s="1461" t="s">
        <v>1197</v>
      </c>
      <c r="B64" s="1477">
        <f t="shared" si="108"/>
        <v>116.99099099099099</v>
      </c>
      <c r="C64" s="1477">
        <f t="shared" si="108"/>
        <v>118.84848484848486</v>
      </c>
      <c r="D64" s="1477">
        <f t="shared" si="74"/>
        <v>118.84848484848486</v>
      </c>
      <c r="E64" s="1477">
        <f t="shared" si="109"/>
        <v>117.60960960960961</v>
      </c>
      <c r="F64" s="1477">
        <f t="shared" si="109"/>
        <v>104</v>
      </c>
      <c r="G64" s="3471">
        <v>2004</v>
      </c>
      <c r="H64" s="1465">
        <v>2</v>
      </c>
      <c r="I64" s="1465">
        <v>1</v>
      </c>
      <c r="J64" s="1465">
        <v>1.5</v>
      </c>
      <c r="K64" s="1465">
        <v>1.5</v>
      </c>
      <c r="L64" s="1479">
        <v>0</v>
      </c>
      <c r="N64" s="1524">
        <f t="shared" si="106"/>
        <v>4.0581121662202721E-2</v>
      </c>
      <c r="O64" s="1525">
        <f t="shared" si="106"/>
        <v>3.1897926634768738E-2</v>
      </c>
      <c r="P64" s="1525">
        <f t="shared" si="107"/>
        <v>6.6733400066733395E-2</v>
      </c>
      <c r="Q64" s="1525">
        <f t="shared" si="107"/>
        <v>0</v>
      </c>
      <c r="R64" s="1474"/>
      <c r="S64" s="1472"/>
      <c r="T64" s="1473"/>
      <c r="U64" s="1473"/>
      <c r="V64" s="1473"/>
      <c r="X64" s="1526"/>
      <c r="Y64" s="1526"/>
      <c r="Z64" s="1526"/>
    </row>
    <row r="65" spans="1:26" s="1517" customFormat="1" ht="13.5" thickBot="1">
      <c r="A65" s="1461" t="s">
        <v>1198</v>
      </c>
      <c r="B65" s="1514">
        <f t="shared" si="108"/>
        <v>112.48648648648648</v>
      </c>
      <c r="C65" s="1514">
        <f t="shared" si="108"/>
        <v>115.21212121212122</v>
      </c>
      <c r="D65" s="1514">
        <f t="shared" si="74"/>
        <v>115.21212121212122</v>
      </c>
      <c r="E65" s="1514">
        <f t="shared" si="109"/>
        <v>110.4024024024024</v>
      </c>
      <c r="F65" s="1514">
        <f t="shared" si="109"/>
        <v>104</v>
      </c>
      <c r="G65" s="3472">
        <v>2004</v>
      </c>
      <c r="H65" s="1515">
        <v>1</v>
      </c>
      <c r="I65" s="1515">
        <v>0.33</v>
      </c>
      <c r="J65" s="1515">
        <v>0.5</v>
      </c>
      <c r="K65" s="1515">
        <v>0.5</v>
      </c>
      <c r="L65" s="1516">
        <v>0</v>
      </c>
      <c r="N65" s="1529">
        <f t="shared" si="106"/>
        <v>1.3391770148526898E-2</v>
      </c>
      <c r="O65" s="1530">
        <f t="shared" si="106"/>
        <v>1.063264221158958E-2</v>
      </c>
      <c r="P65" s="1530">
        <f t="shared" si="107"/>
        <v>2.2244466688911134E-2</v>
      </c>
      <c r="Q65" s="1530">
        <f t="shared" si="107"/>
        <v>0</v>
      </c>
      <c r="R65" s="1520"/>
      <c r="S65" s="1518">
        <f>B65/B66-1</f>
        <v>1.3391770148526883E-2</v>
      </c>
      <c r="T65" s="1519">
        <f>C65/C66-1</f>
        <v>1.063264221158966E-2</v>
      </c>
      <c r="U65" s="1519">
        <f>E65/E66-1</f>
        <v>2.2244466688911224E-2</v>
      </c>
      <c r="V65" s="1519">
        <f>F65/F66-1</f>
        <v>0</v>
      </c>
      <c r="X65" s="1531"/>
      <c r="Y65" s="1531"/>
      <c r="Z65" s="1531"/>
    </row>
    <row r="66" spans="1:26" ht="13.5" thickBot="1">
      <c r="A66" s="1461" t="s">
        <v>1199</v>
      </c>
      <c r="B66" s="1532">
        <v>111</v>
      </c>
      <c r="C66" s="1532">
        <v>114</v>
      </c>
      <c r="D66" s="1532">
        <f t="shared" si="74"/>
        <v>114</v>
      </c>
      <c r="E66" s="1532">
        <v>108</v>
      </c>
      <c r="F66" s="1533">
        <v>104</v>
      </c>
      <c r="G66" s="3470">
        <v>2003</v>
      </c>
      <c r="H66" s="1522">
        <v>4</v>
      </c>
      <c r="I66" s="1534"/>
      <c r="J66" s="1534"/>
      <c r="K66" s="1534"/>
      <c r="L66" s="1534"/>
      <c r="N66" s="1535"/>
      <c r="O66" s="1534"/>
      <c r="P66" s="1534"/>
      <c r="Q66" s="1534"/>
      <c r="S66" s="1535"/>
      <c r="T66" s="1534"/>
      <c r="U66" s="1534"/>
      <c r="V66" s="1534"/>
      <c r="X66" s="1526"/>
      <c r="Y66" s="1526"/>
      <c r="Z66" s="1526"/>
    </row>
    <row r="67" spans="1:26">
      <c r="A67" s="1461" t="s">
        <v>1200</v>
      </c>
      <c r="B67" s="1536">
        <f t="shared" ref="B67:C69" si="110">B68+(B$66-B$70)/4</f>
        <v>109.75</v>
      </c>
      <c r="C67" s="1536">
        <f t="shared" si="110"/>
        <v>112.25</v>
      </c>
      <c r="D67" s="1536">
        <f t="shared" si="74"/>
        <v>112.25</v>
      </c>
      <c r="E67" s="1536">
        <f t="shared" ref="E67:F69" si="111">E68+(E$66-E$70)/4</f>
        <v>107.25</v>
      </c>
      <c r="F67" s="1536">
        <f t="shared" si="111"/>
        <v>103.5</v>
      </c>
      <c r="G67" s="3471">
        <v>2003</v>
      </c>
      <c r="H67" s="1487">
        <v>3</v>
      </c>
      <c r="I67" s="1534"/>
      <c r="J67" s="1534"/>
      <c r="K67" s="1534"/>
      <c r="L67" s="1534"/>
      <c r="X67" s="1526"/>
      <c r="Y67" s="1526"/>
      <c r="Z67" s="1526"/>
    </row>
    <row r="68" spans="1:26">
      <c r="A68" s="1461" t="s">
        <v>1201</v>
      </c>
      <c r="B68" s="1536">
        <f t="shared" si="110"/>
        <v>108.5</v>
      </c>
      <c r="C68" s="1536">
        <f t="shared" si="110"/>
        <v>110.5</v>
      </c>
      <c r="D68" s="1536">
        <f t="shared" si="74"/>
        <v>110.5</v>
      </c>
      <c r="E68" s="1536">
        <f t="shared" si="111"/>
        <v>106.5</v>
      </c>
      <c r="F68" s="1536">
        <f t="shared" si="111"/>
        <v>103</v>
      </c>
      <c r="G68" s="3471">
        <v>2003</v>
      </c>
      <c r="H68" s="1465">
        <v>2</v>
      </c>
      <c r="I68" s="1534"/>
      <c r="J68" s="1534"/>
      <c r="K68" s="1534"/>
      <c r="L68" s="1534"/>
      <c r="X68" s="1526"/>
      <c r="Y68" s="1526"/>
      <c r="Z68" s="1526"/>
    </row>
    <row r="69" spans="1:26" ht="13.5" thickBot="1">
      <c r="A69" s="1461" t="s">
        <v>1202</v>
      </c>
      <c r="B69" s="1536">
        <f t="shared" si="110"/>
        <v>107.25</v>
      </c>
      <c r="C69" s="1536">
        <f t="shared" si="110"/>
        <v>108.75</v>
      </c>
      <c r="D69" s="1536">
        <f t="shared" si="74"/>
        <v>108.75</v>
      </c>
      <c r="E69" s="1536">
        <f t="shared" si="111"/>
        <v>105.75</v>
      </c>
      <c r="F69" s="1536">
        <f t="shared" si="111"/>
        <v>102.5</v>
      </c>
      <c r="G69" s="3472">
        <v>2003</v>
      </c>
      <c r="H69" s="1537">
        <v>1</v>
      </c>
      <c r="I69" s="1534"/>
      <c r="J69" s="1534"/>
      <c r="K69" s="1534"/>
      <c r="L69" s="1534"/>
      <c r="S69" s="1472"/>
      <c r="T69" s="1473"/>
      <c r="U69" s="1473"/>
      <c r="X69" s="1526"/>
      <c r="Y69" s="1526"/>
      <c r="Z69" s="1526"/>
    </row>
    <row r="70" spans="1:26" ht="13.5" thickBot="1">
      <c r="A70" s="1461" t="s">
        <v>1203</v>
      </c>
      <c r="B70" s="1538">
        <v>106</v>
      </c>
      <c r="C70" s="1538">
        <v>107</v>
      </c>
      <c r="D70" s="1538">
        <f t="shared" si="74"/>
        <v>107</v>
      </c>
      <c r="E70" s="1538">
        <v>105</v>
      </c>
      <c r="F70" s="1539">
        <v>102</v>
      </c>
      <c r="G70" s="3470">
        <v>2002</v>
      </c>
      <c r="H70" s="1482">
        <v>4</v>
      </c>
      <c r="I70" s="1534"/>
      <c r="J70" s="1534"/>
      <c r="K70" s="1534"/>
      <c r="L70" s="1534"/>
      <c r="N70" s="1535"/>
      <c r="O70" s="1534"/>
      <c r="P70" s="1534"/>
      <c r="Q70" s="1534"/>
      <c r="S70" s="1535"/>
      <c r="T70" s="1534"/>
      <c r="U70" s="1534"/>
      <c r="V70" s="1534"/>
      <c r="X70" s="1526"/>
      <c r="Y70" s="1526"/>
      <c r="Z70" s="1526"/>
    </row>
    <row r="71" spans="1:26">
      <c r="A71" s="1461" t="s">
        <v>1204</v>
      </c>
      <c r="B71" s="1536">
        <f t="shared" ref="B71:C73" si="112">B72+(B$70-B$74)/4</f>
        <v>105</v>
      </c>
      <c r="C71" s="1536">
        <f t="shared" si="112"/>
        <v>106</v>
      </c>
      <c r="D71" s="1536">
        <f t="shared" si="74"/>
        <v>106</v>
      </c>
      <c r="E71" s="1536">
        <f t="shared" ref="E71:F73" si="113">E72+(E$70-E$74)/4</f>
        <v>104.5</v>
      </c>
      <c r="F71" s="1536">
        <f t="shared" si="113"/>
        <v>101.5</v>
      </c>
      <c r="G71" s="3471">
        <v>2002</v>
      </c>
      <c r="H71" s="1487">
        <v>3</v>
      </c>
      <c r="I71" s="1534"/>
      <c r="J71" s="1534"/>
      <c r="K71" s="1534"/>
      <c r="L71" s="1534"/>
      <c r="X71" s="1526"/>
      <c r="Y71" s="1526"/>
      <c r="Z71" s="1526"/>
    </row>
    <row r="72" spans="1:26">
      <c r="A72" s="1461" t="s">
        <v>1205</v>
      </c>
      <c r="B72" s="1536">
        <f t="shared" si="112"/>
        <v>104</v>
      </c>
      <c r="C72" s="1536">
        <f t="shared" si="112"/>
        <v>105</v>
      </c>
      <c r="D72" s="1536">
        <f t="shared" si="74"/>
        <v>105</v>
      </c>
      <c r="E72" s="1536">
        <f t="shared" si="113"/>
        <v>104</v>
      </c>
      <c r="F72" s="1536">
        <f t="shared" si="113"/>
        <v>101</v>
      </c>
      <c r="G72" s="3471">
        <v>2002</v>
      </c>
      <c r="H72" s="1465">
        <v>2</v>
      </c>
      <c r="I72" s="1534"/>
      <c r="J72" s="1534"/>
      <c r="K72" s="1534"/>
      <c r="L72" s="1534"/>
      <c r="X72" s="1526"/>
      <c r="Y72" s="1526"/>
      <c r="Z72" s="1526"/>
    </row>
    <row r="73" spans="1:26" s="1498" customFormat="1" ht="13.5" thickBot="1">
      <c r="A73" s="1494" t="s">
        <v>1206</v>
      </c>
      <c r="B73" s="1540">
        <f t="shared" si="112"/>
        <v>103</v>
      </c>
      <c r="C73" s="1540">
        <f t="shared" si="112"/>
        <v>104</v>
      </c>
      <c r="D73" s="1540">
        <f t="shared" si="74"/>
        <v>104</v>
      </c>
      <c r="E73" s="1540">
        <f t="shared" si="113"/>
        <v>103.5</v>
      </c>
      <c r="F73" s="1540">
        <f t="shared" si="113"/>
        <v>100.5</v>
      </c>
      <c r="G73" s="3472">
        <v>2002</v>
      </c>
      <c r="H73" s="1541">
        <v>1</v>
      </c>
      <c r="I73" s="1542"/>
      <c r="J73" s="1542"/>
      <c r="K73" s="1542"/>
      <c r="L73" s="1542"/>
      <c r="N73" s="1543"/>
      <c r="S73" s="1543"/>
      <c r="X73" s="1544"/>
      <c r="Y73" s="1544"/>
      <c r="Z73" s="1544"/>
    </row>
    <row r="74" spans="1:26" ht="13.5" thickBot="1">
      <c r="B74" s="1545">
        <v>102</v>
      </c>
      <c r="C74" s="1546">
        <v>103</v>
      </c>
      <c r="D74" s="1546">
        <f t="shared" si="74"/>
        <v>103</v>
      </c>
      <c r="E74" s="1546">
        <v>103</v>
      </c>
      <c r="F74" s="1547">
        <v>100</v>
      </c>
      <c r="I74" s="1534"/>
      <c r="J74" s="1534"/>
      <c r="K74" s="1534"/>
      <c r="L74" s="1534"/>
      <c r="N74" s="1535"/>
      <c r="O74" s="1534"/>
      <c r="P74" s="1534"/>
      <c r="Q74" s="1534"/>
      <c r="S74" s="1535"/>
      <c r="T74" s="1534"/>
      <c r="U74" s="1534"/>
      <c r="V74" s="1534"/>
      <c r="X74" s="1476"/>
      <c r="Y74" s="1476"/>
      <c r="Z74" s="1476"/>
    </row>
    <row r="76" spans="1:26" s="1549" customFormat="1">
      <c r="A76" s="1548" t="s">
        <v>1207</v>
      </c>
      <c r="G76" s="1550"/>
      <c r="N76" s="1550"/>
      <c r="S76" s="1550"/>
    </row>
    <row r="77" spans="1:26" s="1549" customFormat="1">
      <c r="A77" s="1549" t="s">
        <v>1208</v>
      </c>
      <c r="G77" s="1550"/>
      <c r="N77" s="1550"/>
      <c r="S77" s="1550"/>
    </row>
    <row r="78" spans="1:26" s="1549" customFormat="1">
      <c r="A78" s="1549" t="s">
        <v>1209</v>
      </c>
      <c r="G78" s="1550"/>
      <c r="I78" s="1551"/>
      <c r="J78" s="1551"/>
      <c r="K78" s="1551"/>
      <c r="L78" s="1551"/>
      <c r="N78" s="1552"/>
      <c r="O78" s="1551"/>
      <c r="P78" s="1551"/>
      <c r="Q78" s="1551"/>
      <c r="S78" s="1552"/>
      <c r="T78" s="1551"/>
      <c r="U78" s="1551"/>
      <c r="V78" s="1551"/>
    </row>
    <row r="79" spans="1:26" s="1549" customFormat="1">
      <c r="A79" s="1549" t="s">
        <v>1210</v>
      </c>
      <c r="G79" s="1550"/>
      <c r="N79" s="1550"/>
      <c r="S79" s="1550"/>
    </row>
    <row r="86" spans="7:22" ht="13.5" thickBot="1"/>
    <row r="87" spans="7:22">
      <c r="G87" s="1471"/>
      <c r="S87" s="1553" t="s">
        <v>1211</v>
      </c>
      <c r="T87" s="1554" t="s">
        <v>1212</v>
      </c>
      <c r="U87" s="1554" t="s">
        <v>1213</v>
      </c>
      <c r="V87" s="1554" t="s">
        <v>1214</v>
      </c>
    </row>
    <row r="88" spans="7:22">
      <c r="G88" s="1471"/>
      <c r="N88" s="1475"/>
      <c r="O88" s="1476"/>
      <c r="P88" s="1476"/>
      <c r="Q88" s="1476"/>
      <c r="S88" s="1555">
        <v>2006</v>
      </c>
      <c r="T88" s="1556">
        <v>15.1</v>
      </c>
      <c r="U88" s="1556">
        <v>7.43</v>
      </c>
      <c r="V88" s="1556">
        <v>26.26</v>
      </c>
    </row>
    <row r="89" spans="7:22">
      <c r="G89" s="1471"/>
      <c r="N89" s="1475"/>
      <c r="O89" s="1476"/>
      <c r="P89" s="1476"/>
      <c r="Q89" s="1476"/>
      <c r="S89" s="1557">
        <v>2005</v>
      </c>
      <c r="T89" s="1558">
        <v>13.9</v>
      </c>
      <c r="U89" s="1558">
        <v>7.49</v>
      </c>
      <c r="V89" s="1558">
        <v>24.92</v>
      </c>
    </row>
    <row r="90" spans="7:22">
      <c r="G90" s="1471"/>
      <c r="N90" s="1475"/>
      <c r="O90" s="1476"/>
      <c r="P90" s="1476"/>
      <c r="Q90" s="1476"/>
      <c r="S90" s="1555">
        <v>2004</v>
      </c>
      <c r="T90" s="1556">
        <v>9.48</v>
      </c>
      <c r="U90" s="1556">
        <v>7.2</v>
      </c>
      <c r="V90" s="1556">
        <v>14.68</v>
      </c>
    </row>
    <row r="91" spans="7:22">
      <c r="G91" s="1471"/>
      <c r="N91" s="1475"/>
      <c r="O91" s="1476"/>
      <c r="P91" s="1476"/>
      <c r="Q91" s="1476"/>
      <c r="S91" s="1557">
        <v>2003</v>
      </c>
      <c r="T91" s="1558">
        <v>4.5</v>
      </c>
      <c r="U91" s="1558">
        <v>6.12</v>
      </c>
      <c r="V91" s="1558">
        <v>2.34</v>
      </c>
    </row>
    <row r="92" spans="7:22" ht="13.5" thickBot="1">
      <c r="G92" s="1471"/>
      <c r="N92" s="1475"/>
      <c r="O92" s="1476"/>
      <c r="P92" s="1476"/>
      <c r="Q92" s="1476"/>
      <c r="S92" s="1559">
        <v>2002</v>
      </c>
      <c r="T92" s="1560">
        <v>3.59</v>
      </c>
      <c r="U92" s="1560">
        <v>4.54</v>
      </c>
      <c r="V92" s="1560">
        <v>2.5499999999999998</v>
      </c>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19" sqref="C19"/>
      <selection pane="bottomLeft" activeCell="C19" sqref="C19"/>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2999</v>
      </c>
      <c r="C1" s="3480" t="s">
        <v>3000</v>
      </c>
      <c r="D1" s="3481"/>
      <c r="E1" s="3481"/>
      <c r="F1" s="3481"/>
      <c r="G1" s="3481"/>
      <c r="H1" s="3481"/>
      <c r="I1" s="3481"/>
      <c r="J1" s="3481"/>
      <c r="K1" s="3481"/>
      <c r="L1" s="3481"/>
      <c r="M1" s="3481"/>
      <c r="N1" s="3481"/>
      <c r="O1" s="3481"/>
      <c r="P1" s="3481"/>
      <c r="Q1" s="3481"/>
      <c r="R1" s="3481"/>
      <c r="S1" s="3482"/>
      <c r="T1" s="1204" t="s">
        <v>3001</v>
      </c>
    </row>
    <row r="2" spans="1:45" s="707" customFormat="1">
      <c r="A2" s="1205"/>
      <c r="B2" s="703" t="s">
        <v>3002</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3003</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3004</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3005</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3006</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3007</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3008</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5" t="s">
        <v>3009</v>
      </c>
      <c r="B17" s="2916" t="s">
        <v>3010</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7" t="s">
        <v>3011</v>
      </c>
      <c r="E19" s="1792"/>
      <c r="F19" s="1792"/>
      <c r="G19" s="1792"/>
      <c r="H19" s="1280"/>
      <c r="I19" s="168"/>
      <c r="J19" s="168"/>
      <c r="K19" s="168"/>
      <c r="L19" s="168"/>
      <c r="M19" s="168"/>
      <c r="N19" s="168"/>
      <c r="O19" s="168"/>
      <c r="P19" s="168"/>
      <c r="Q19" s="168"/>
      <c r="R19" s="788"/>
      <c r="S19" s="138"/>
    </row>
    <row r="20" spans="1:45" ht="16.5" thickBot="1">
      <c r="A20" s="715" t="s">
        <v>3012</v>
      </c>
      <c r="B20" s="338" t="e">
        <f ca="1">IF(D20="——",S22,S22-F20)</f>
        <v>#REF!</v>
      </c>
      <c r="C20" s="168"/>
      <c r="D20" s="2918" t="s">
        <v>3013</v>
      </c>
      <c r="E20" s="1793"/>
      <c r="F20" s="1204" t="e">
        <f ca="1">SUMIF(INDIRECT("'"&amp;H20&amp;"'"&amp;"!A:A"),"承租人权益价值",INDIRECT("'"&amp;H20&amp;"'"&amp;"!c:c"))</f>
        <v>#REF!</v>
      </c>
      <c r="G20" s="1204" t="s">
        <v>3014</v>
      </c>
      <c r="H20" s="2919"/>
      <c r="I20" s="168"/>
      <c r="J20" s="168"/>
      <c r="K20" s="168"/>
      <c r="L20" s="168"/>
      <c r="M20" s="168"/>
      <c r="N20" s="168"/>
      <c r="O20" s="168"/>
      <c r="P20" s="168"/>
      <c r="Q20" s="168"/>
      <c r="R20" s="788"/>
      <c r="S20" s="138"/>
    </row>
    <row r="21" spans="1:45" ht="15.75">
      <c r="A21" s="715" t="s">
        <v>3015</v>
      </c>
      <c r="B21" s="338">
        <f>R22</f>
        <v>10000</v>
      </c>
      <c r="C21" s="168"/>
      <c r="D21" s="168"/>
      <c r="E21" s="168"/>
      <c r="F21" s="168"/>
      <c r="G21" s="168"/>
      <c r="H21" s="168"/>
      <c r="I21" s="168"/>
      <c r="J21" s="168"/>
      <c r="K21" s="168"/>
      <c r="L21" s="168"/>
      <c r="M21" s="168"/>
      <c r="N21" s="168"/>
      <c r="O21" s="168"/>
      <c r="P21" s="168"/>
      <c r="Q21" s="168"/>
      <c r="R21" s="788"/>
      <c r="S21" s="138"/>
    </row>
    <row r="22" spans="1:45">
      <c r="A22" s="361" t="s">
        <v>3016</v>
      </c>
      <c r="B22" s="24">
        <f>SUM(B24:B10000)</f>
        <v>100</v>
      </c>
      <c r="C22" s="3257" t="s">
        <v>33</v>
      </c>
      <c r="D22" s="3258"/>
      <c r="E22" s="3258"/>
      <c r="F22" s="3258"/>
      <c r="G22" s="3258"/>
      <c r="H22" s="3258"/>
      <c r="I22" s="3258"/>
      <c r="J22" s="3258"/>
      <c r="K22" s="3258"/>
      <c r="L22" s="3258"/>
      <c r="M22" s="3258"/>
      <c r="N22" s="3258"/>
      <c r="O22" s="3258"/>
      <c r="P22" s="3258"/>
      <c r="Q22" s="3479"/>
      <c r="R22" s="716">
        <f>ROUND(S22*10000/B22,0)</f>
        <v>10000</v>
      </c>
      <c r="S22" s="24">
        <f>SUM(S24:S10000)</f>
        <v>100</v>
      </c>
    </row>
    <row r="23" spans="1:45" s="12" customFormat="1" ht="24">
      <c r="A23" s="11" t="s">
        <v>3017</v>
      </c>
      <c r="B23" s="11" t="s">
        <v>3018</v>
      </c>
      <c r="C23" s="11" t="s">
        <v>3019</v>
      </c>
      <c r="D23" s="11" t="str">
        <f>B5</f>
        <v>修正项2</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7" t="s">
        <v>3020</v>
      </c>
      <c r="S23" s="11" t="s">
        <v>3021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3022</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58018</v>
      </c>
      <c r="C2" s="2" t="s">
        <v>133</v>
      </c>
      <c r="D2" s="243"/>
      <c r="E2" s="243"/>
      <c r="F2" s="243"/>
      <c r="G2" s="243"/>
    </row>
    <row r="3" spans="1:7" s="244" customFormat="1" ht="18" customHeight="1" thickBot="1">
      <c r="A3" s="247" t="s">
        <v>85</v>
      </c>
      <c r="B3" s="248">
        <f ca="1">ROUND(B2*10000/'数据-汇总表'!E3,0)</f>
        <v>3005</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165</v>
      </c>
      <c r="F9" s="265"/>
      <c r="G9" s="270"/>
    </row>
    <row r="10" spans="1:7" s="258" customFormat="1" ht="13.5" customHeight="1">
      <c r="A10" s="950" t="s">
        <v>801</v>
      </c>
      <c r="B10" s="268" t="s">
        <v>94</v>
      </c>
      <c r="C10" s="269">
        <f>ROUND(D10*E10/10000,0)</f>
        <v>4150</v>
      </c>
      <c r="D10" s="1032">
        <f>'数据-汇总表'!E6</f>
        <v>193040.62000000002</v>
      </c>
      <c r="E10" s="269">
        <f>'数据-取费表'!B28</f>
        <v>215</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3861</v>
      </c>
      <c r="D19" s="1036">
        <f>'数据-汇总表'!E3</f>
        <v>193040.62000000002</v>
      </c>
      <c r="E19" s="255">
        <f>'数据-取费表'!B31</f>
        <v>200</v>
      </c>
      <c r="F19" s="275"/>
      <c r="G19" s="1" t="s">
        <v>1071</v>
      </c>
    </row>
    <row r="20" spans="1:7" s="258" customFormat="1" ht="13.5" customHeight="1">
      <c r="A20" s="948" t="s">
        <v>1054</v>
      </c>
      <c r="B20" s="254" t="s">
        <v>104</v>
      </c>
      <c r="C20" s="276">
        <f>ROUND((C5+C19)*F20,0)</f>
        <v>489</v>
      </c>
      <c r="D20" s="276"/>
      <c r="E20" s="276"/>
      <c r="F20" s="277">
        <f>'数据-取费表'!B37</f>
        <v>0.02</v>
      </c>
      <c r="G20" s="1289" t="s">
        <v>1065</v>
      </c>
    </row>
    <row r="21" spans="1:7" s="258" customFormat="1" ht="13.5" customHeight="1">
      <c r="A21" s="948" t="s">
        <v>1056</v>
      </c>
      <c r="B21" s="254" t="s">
        <v>105</v>
      </c>
      <c r="C21" s="279">
        <f>F21</f>
        <v>0.03</v>
      </c>
      <c r="D21" s="280" t="s">
        <v>126</v>
      </c>
      <c r="E21" s="276"/>
      <c r="F21" s="277">
        <f>'数据-取费表'!B38</f>
        <v>0.03</v>
      </c>
      <c r="G21" s="278" t="s">
        <v>106</v>
      </c>
    </row>
    <row r="22" spans="1:7" s="258" customFormat="1" ht="13.5" customHeight="1">
      <c r="A22" s="948" t="s">
        <v>786</v>
      </c>
      <c r="B22" s="254" t="s">
        <v>107</v>
      </c>
      <c r="C22" s="1354">
        <f ca="1">ROUND(SUM(C23:C25),0)</f>
        <v>1781</v>
      </c>
      <c r="D22" s="279">
        <f ca="1">C26</f>
        <v>1.1000000000000001E-3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1486</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278</v>
      </c>
      <c r="D24" s="282"/>
      <c r="E24" s="282"/>
      <c r="F24" s="283"/>
      <c r="G24" s="284" t="s">
        <v>109</v>
      </c>
    </row>
    <row r="25" spans="1:7" s="258" customFormat="1" ht="24">
      <c r="A25" s="951" t="s">
        <v>793</v>
      </c>
      <c r="B25" s="259" t="s">
        <v>1055</v>
      </c>
      <c r="C25" s="1355">
        <f ca="1">ROUND(IF('数据-取费表'!B22&lt;=1,C20*F22*'数据-取费表'!B23/2,C20*(POWER((1+F22),'数据-取费表'!B23/2)-1)),0)</f>
        <v>17</v>
      </c>
      <c r="D25" s="282"/>
      <c r="E25" s="285"/>
      <c r="F25" s="283"/>
      <c r="G25" s="286" t="s">
        <v>110</v>
      </c>
    </row>
    <row r="26" spans="1:7" s="258" customFormat="1">
      <c r="A26" s="951" t="s">
        <v>795</v>
      </c>
      <c r="B26" s="259" t="s">
        <v>1057</v>
      </c>
      <c r="C26" s="282">
        <f ca="1">ROUND(IF('数据-取费表'!B22&lt;=1,F21*F22*'数据-取费表'!B23/2,F21*(POWER((1+F22),'数据-取费表'!B23/2)-1)),4)</f>
        <v>1.1000000000000001E-3</v>
      </c>
      <c r="D26" s="282"/>
      <c r="E26" s="285"/>
      <c r="F26" s="283"/>
      <c r="G26" s="287"/>
    </row>
    <row r="27" spans="1:7" s="258" customFormat="1" ht="24.75">
      <c r="A27" s="948" t="s">
        <v>787</v>
      </c>
      <c r="B27" s="288" t="s">
        <v>112</v>
      </c>
      <c r="C27" s="289">
        <f>C28</f>
        <v>2496</v>
      </c>
      <c r="D27" s="279">
        <f>C29</f>
        <v>3.0000000000000001E-3</v>
      </c>
      <c r="E27" s="280" t="s">
        <v>126</v>
      </c>
      <c r="F27" s="290">
        <f>'数据-取费表'!Q16</f>
        <v>0.1</v>
      </c>
      <c r="G27" s="291" t="s">
        <v>1066</v>
      </c>
    </row>
    <row r="28" spans="1:7" s="258" customFormat="1" ht="13.5" customHeight="1">
      <c r="A28" s="951" t="s">
        <v>794</v>
      </c>
      <c r="B28" s="292" t="s">
        <v>1059</v>
      </c>
      <c r="C28" s="293">
        <f>ROUND((C5+C19+C20)*F27*'数据-取费表'!B21/'数据-取费表'!B20,0)</f>
        <v>2496</v>
      </c>
      <c r="D28" s="279"/>
      <c r="E28" s="280"/>
      <c r="F28" s="290"/>
      <c r="G28" s="291"/>
    </row>
    <row r="29" spans="1:7" s="258" customFormat="1" ht="13.5" customHeight="1">
      <c r="A29" s="951" t="s">
        <v>792</v>
      </c>
      <c r="B29" s="292" t="s">
        <v>1060</v>
      </c>
      <c r="C29" s="282">
        <f>ROUND(C21*F27*'数据-取费表'!B21/'数据-取费表'!B20,4)</f>
        <v>3.0000000000000001E-3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32038</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34120</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28956</v>
      </c>
      <c r="D34" s="261"/>
      <c r="E34" s="264"/>
      <c r="F34" s="301">
        <f>IF('数据-取费表'!B24=0,1,'数据-取费表'!N16)</f>
        <v>1</v>
      </c>
      <c r="G34" s="263" t="s">
        <v>116</v>
      </c>
    </row>
    <row r="35" spans="1:7" ht="13.5" customHeight="1">
      <c r="A35" s="951" t="s">
        <v>796</v>
      </c>
      <c r="B35" s="259" t="s">
        <v>60</v>
      </c>
      <c r="C35" s="264">
        <f>ROUND(C34*F35,0)</f>
        <v>869</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3861</v>
      </c>
      <c r="D37" s="261">
        <f>'数据-汇总表'!E3</f>
        <v>193040.62000000002</v>
      </c>
      <c r="E37" s="293">
        <f>'数据-取费表'!B35</f>
        <v>200</v>
      </c>
      <c r="F37" s="303"/>
      <c r="G37" s="305" t="s">
        <v>119</v>
      </c>
    </row>
    <row r="38" spans="1:7" ht="13.5" customHeight="1">
      <c r="A38" s="951" t="s">
        <v>799</v>
      </c>
      <c r="B38" s="259" t="s">
        <v>63</v>
      </c>
      <c r="C38" s="264">
        <f>ROUND(C34*F38,0)</f>
        <v>434</v>
      </c>
      <c r="D38" s="264"/>
      <c r="E38" s="264"/>
      <c r="F38" s="303">
        <f>'数据-取费表'!B36</f>
        <v>1.4999999999999999E-2</v>
      </c>
      <c r="G38" s="263" t="s">
        <v>117</v>
      </c>
    </row>
    <row r="39" spans="1:7" s="258" customFormat="1" ht="13.5" customHeight="1">
      <c r="A39" s="948" t="s">
        <v>783</v>
      </c>
      <c r="B39" s="254" t="s">
        <v>104</v>
      </c>
      <c r="C39" s="276">
        <f>ROUND(C33*F20,0)</f>
        <v>682</v>
      </c>
      <c r="D39" s="276"/>
      <c r="E39" s="276"/>
      <c r="F39" s="277"/>
      <c r="G39" s="1289" t="s">
        <v>1068</v>
      </c>
    </row>
    <row r="40" spans="1:7" s="258" customFormat="1" ht="13.5" customHeight="1">
      <c r="A40" s="948" t="s">
        <v>784</v>
      </c>
      <c r="B40" s="254" t="s">
        <v>105</v>
      </c>
      <c r="C40" s="306">
        <f>F21</f>
        <v>0.03</v>
      </c>
      <c r="D40" s="280" t="s">
        <v>129</v>
      </c>
      <c r="E40" s="276"/>
      <c r="F40" s="277"/>
      <c r="G40" s="278" t="s">
        <v>120</v>
      </c>
    </row>
    <row r="41" spans="1:7" s="258" customFormat="1" ht="13.5" customHeight="1">
      <c r="A41" s="948" t="s">
        <v>785</v>
      </c>
      <c r="B41" s="254" t="s">
        <v>107</v>
      </c>
      <c r="C41" s="276">
        <f ca="1">ROUND(SUM(C42:C43),0)</f>
        <v>1232</v>
      </c>
      <c r="D41" s="279">
        <f ca="1">C44</f>
        <v>1.1000000000000001E-3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1208</v>
      </c>
      <c r="D42" s="282"/>
      <c r="E42" s="282"/>
      <c r="F42" s="283"/>
      <c r="G42" s="3342" t="s">
        <v>121</v>
      </c>
    </row>
    <row r="43" spans="1:7" ht="13.5" customHeight="1">
      <c r="A43" s="951" t="s">
        <v>792</v>
      </c>
      <c r="B43" s="259" t="s">
        <v>1061</v>
      </c>
      <c r="C43" s="282">
        <f ca="1">ROUND(IF('数据-取费表'!B22&lt;=1,C39*F22*'数据-取费表'!B21/2,C39*(POWER((1+F22),'数据-取费表'!B21/2)-1)),0)</f>
        <v>24</v>
      </c>
      <c r="D43" s="282"/>
      <c r="E43" s="282"/>
      <c r="F43" s="283"/>
      <c r="G43" s="3343"/>
    </row>
    <row r="44" spans="1:7" ht="13.5" customHeight="1">
      <c r="A44" s="951" t="s">
        <v>793</v>
      </c>
      <c r="B44" s="259" t="s">
        <v>1063</v>
      </c>
      <c r="C44" s="282">
        <f ca="1">ROUND(IF('数据-取费表'!B22&lt;=1,C40*F22*'数据-取费表'!B21/2,C40*(POWER((1+F22),'数据-取费表'!B21/2)-1)),4)</f>
        <v>1.1000000000000001E-3</v>
      </c>
      <c r="D44" s="282"/>
      <c r="E44" s="282"/>
      <c r="F44" s="283"/>
      <c r="G44" s="3344"/>
    </row>
    <row r="45" spans="1:7" s="258" customFormat="1" ht="13.5" customHeight="1">
      <c r="A45" s="948" t="s">
        <v>786</v>
      </c>
      <c r="B45" s="288" t="s">
        <v>112</v>
      </c>
      <c r="C45" s="289">
        <f>C46</f>
        <v>3480</v>
      </c>
      <c r="D45" s="279">
        <f>C47</f>
        <v>3.0000000000000001E-3</v>
      </c>
      <c r="E45" s="280" t="s">
        <v>129</v>
      </c>
      <c r="F45" s="290"/>
      <c r="G45" s="291" t="s">
        <v>1069</v>
      </c>
    </row>
    <row r="46" spans="1:7" s="258" customFormat="1" ht="13.5" customHeight="1">
      <c r="A46" s="951" t="s">
        <v>794</v>
      </c>
      <c r="B46" s="292" t="s">
        <v>1062</v>
      </c>
      <c r="C46" s="293">
        <f>ROUND((C33+C39)*F27,0)</f>
        <v>3480</v>
      </c>
      <c r="D46" s="307"/>
      <c r="E46" s="280"/>
      <c r="F46" s="290"/>
      <c r="G46" s="291"/>
    </row>
    <row r="47" spans="1:7" s="258" customFormat="1" ht="13.5" customHeight="1">
      <c r="A47" s="951" t="s">
        <v>792</v>
      </c>
      <c r="B47" s="292" t="s">
        <v>1064</v>
      </c>
      <c r="C47" s="282">
        <f>ROUND(C40*F27,4)</f>
        <v>3.0000000000000001E-3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43300</v>
      </c>
      <c r="D49" s="276"/>
      <c r="E49" s="276"/>
      <c r="F49" s="308"/>
      <c r="G49" s="278" t="s">
        <v>1070</v>
      </c>
    </row>
    <row r="50" spans="1:7" s="302" customFormat="1" ht="24">
      <c r="A50" s="948" t="s">
        <v>789</v>
      </c>
      <c r="B50" s="254" t="s">
        <v>124</v>
      </c>
      <c r="C50" s="276"/>
      <c r="D50" s="276"/>
      <c r="E50" s="276"/>
      <c r="F50" s="308">
        <f>IF('数据-取费表'!B24=0,'数据-取费表'!N16,1)</f>
        <v>0.6</v>
      </c>
      <c r="G50" s="291" t="s">
        <v>125</v>
      </c>
    </row>
    <row r="51" spans="1:7" ht="16.5" customHeight="1">
      <c r="A51" s="948" t="s">
        <v>790</v>
      </c>
      <c r="B51" s="254" t="s">
        <v>132</v>
      </c>
      <c r="C51" s="276">
        <f ca="1">ROUND(C49*F50,0)</f>
        <v>25980</v>
      </c>
      <c r="D51" s="276"/>
      <c r="E51" s="276"/>
      <c r="F51" s="308"/>
      <c r="G51" s="278" t="s">
        <v>64</v>
      </c>
    </row>
    <row r="52" spans="1:7" s="252" customFormat="1" ht="16.5" thickBot="1">
      <c r="A52" s="309" t="s">
        <v>65</v>
      </c>
      <c r="B52" s="310"/>
      <c r="C52" s="311">
        <f ca="1">C31+C51</f>
        <v>58018</v>
      </c>
      <c r="D52" s="310"/>
      <c r="E52" s="310"/>
      <c r="F52" s="310"/>
      <c r="G52" s="312"/>
    </row>
    <row r="55" spans="1:7" ht="15">
      <c r="B55" s="314" t="s">
        <v>66</v>
      </c>
      <c r="C55" s="315"/>
    </row>
    <row r="56" spans="1:7">
      <c r="B56" s="317" t="s">
        <v>67</v>
      </c>
      <c r="C56" s="318">
        <f ca="1">ROUND(C51/C52,3)</f>
        <v>0.44800000000000001</v>
      </c>
    </row>
    <row r="57" spans="1:7">
      <c r="B57" s="317" t="s">
        <v>68</v>
      </c>
      <c r="C57" s="319">
        <f ca="1">1-C56</f>
        <v>0.55200000000000005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3149" t="str">
        <f>IF(项目基本情况!B9="房地产市场价值","估价结果一览表","结果表-2")</f>
        <v>结果表-2</v>
      </c>
      <c r="B1" s="3149"/>
      <c r="C1" s="3149"/>
      <c r="D1" s="3149"/>
      <c r="E1" s="3149"/>
      <c r="F1" s="3149"/>
      <c r="G1" s="3149"/>
      <c r="H1" s="3149"/>
      <c r="I1" s="3149"/>
    </row>
    <row r="2" spans="1:9" ht="30" customHeight="1" thickTop="1">
      <c r="A2" s="3150" t="s">
        <v>1637</v>
      </c>
      <c r="B2" s="3150" t="s">
        <v>1638</v>
      </c>
      <c r="C2" s="3150" t="s">
        <v>1639</v>
      </c>
      <c r="D2" s="3150" t="str">
        <f>结果表!D116</f>
        <v>出让国有建设用地使用权价值</v>
      </c>
      <c r="E2" s="3150"/>
      <c r="F2" s="3150" t="str">
        <f>结果表!F116</f>
        <v>在建建筑物价值</v>
      </c>
      <c r="G2" s="3150"/>
      <c r="H2" s="3150" t="str">
        <f>IF(项目基本情况!B9="房地产市场价值","房地产市场价值","房地产价值")</f>
        <v>房地产价值</v>
      </c>
      <c r="I2" s="3150"/>
    </row>
    <row r="3" spans="1:9" ht="15">
      <c r="A3" s="3151"/>
      <c r="B3" s="3151"/>
      <c r="C3" s="3151"/>
      <c r="D3" s="1044" t="s">
        <v>1634</v>
      </c>
      <c r="E3" s="1044" t="s">
        <v>1640</v>
      </c>
      <c r="F3" s="1044" t="s">
        <v>1634</v>
      </c>
      <c r="G3" s="1044" t="s">
        <v>1635</v>
      </c>
      <c r="H3" s="1044" t="s">
        <v>1634</v>
      </c>
      <c r="I3" s="1044" t="s">
        <v>1635</v>
      </c>
    </row>
    <row r="4" spans="1:9" ht="45">
      <c r="A4" s="1973" t="str">
        <f>项目基本情况!S2</f>
        <v>广东省深圳市龙岗区布吉镇沙湾“百门前工业区”工业项目局部房地产</v>
      </c>
      <c r="B4" s="1044">
        <f>项目基本情况!C17</f>
        <v>193040.62000000002</v>
      </c>
      <c r="C4" s="1044">
        <f>项目基本情况!C18</f>
        <v>95897.74</v>
      </c>
      <c r="D4" s="1044">
        <f ca="1">结果表!D118</f>
        <v>60915</v>
      </c>
      <c r="E4" s="1044">
        <f ca="1">结果表!E118</f>
        <v>3155</v>
      </c>
      <c r="F4" s="1044">
        <f ca="1">结果表!F118</f>
        <v>20960</v>
      </c>
      <c r="G4" s="1044">
        <f ca="1">结果表!G118</f>
        <v>1086</v>
      </c>
      <c r="H4" s="1044">
        <f ca="1">结果表!H118</f>
        <v>81875</v>
      </c>
      <c r="I4" s="1044">
        <f ca="1">结果表!I118</f>
        <v>4241</v>
      </c>
    </row>
    <row r="5" spans="1:9" ht="30" customHeight="1">
      <c r="A5" s="3151" t="s">
        <v>1636</v>
      </c>
      <c r="B5" s="3151"/>
      <c r="C5" s="3151"/>
      <c r="D5" s="3152" t="str">
        <f ca="1">结果表!D119</f>
        <v>陆亿零玖佰壹拾伍万元整</v>
      </c>
      <c r="E5" s="3152"/>
      <c r="F5" s="3152" t="str">
        <f ca="1">结果表!F119</f>
        <v>贰亿零玖佰陆拾万元整</v>
      </c>
      <c r="G5" s="3152"/>
      <c r="H5" s="3152" t="str">
        <f ca="1">结果表!H119</f>
        <v>捌亿壹仟捌佰柒拾伍万元整</v>
      </c>
      <c r="I5" s="3152"/>
    </row>
    <row r="6" spans="1:9" ht="15.75">
      <c r="A6" s="3153" t="str">
        <f>结果表!A120</f>
        <v>估价师知悉的法定优先受偿款</v>
      </c>
      <c r="B6" s="3153"/>
      <c r="C6" s="3153"/>
      <c r="D6" s="3153">
        <f>结果表!D120</f>
        <v>0</v>
      </c>
      <c r="E6" s="3153"/>
      <c r="F6" s="3153"/>
      <c r="G6" s="3153"/>
      <c r="H6" s="3153"/>
      <c r="I6" s="3153"/>
    </row>
    <row r="7" spans="1:9" ht="15">
      <c r="A7" s="3151" t="s">
        <v>1636</v>
      </c>
      <c r="B7" s="3151"/>
      <c r="C7" s="3151"/>
      <c r="D7" s="3154" t="str">
        <f>结果表!D121</f>
        <v>零元整</v>
      </c>
      <c r="E7" s="3155"/>
      <c r="F7" s="3155"/>
      <c r="G7" s="3155"/>
      <c r="H7" s="3155"/>
      <c r="I7" s="3156"/>
    </row>
    <row r="8" spans="1:9" ht="15.75">
      <c r="A8" s="3153" t="str">
        <f>结果表!A122</f>
        <v>房地产抵押价值</v>
      </c>
      <c r="B8" s="3153"/>
      <c r="C8" s="3153"/>
      <c r="D8" s="3153">
        <f ca="1">结果表!D122</f>
        <v>81875</v>
      </c>
      <c r="E8" s="3153"/>
      <c r="F8" s="3153"/>
      <c r="G8" s="3153"/>
      <c r="H8" s="3153"/>
      <c r="I8" s="3153"/>
    </row>
    <row r="9" spans="1:9" ht="15">
      <c r="A9" s="3151" t="s">
        <v>1636</v>
      </c>
      <c r="B9" s="3151"/>
      <c r="C9" s="3151"/>
      <c r="D9" s="3152" t="str">
        <f ca="1">结果表!D123</f>
        <v>捌亿壹仟捌佰柒拾伍万元整</v>
      </c>
      <c r="E9" s="3152"/>
      <c r="F9" s="3152"/>
      <c r="G9" s="3152"/>
      <c r="H9" s="3152"/>
      <c r="I9" s="3152"/>
    </row>
    <row r="10" spans="1:9" ht="15.75">
      <c r="A10" s="3153" t="str">
        <f>结果表!A124</f>
        <v>抵押担保权已注销时的房地产抵押价值</v>
      </c>
      <c r="B10" s="3153"/>
      <c r="C10" s="3153"/>
      <c r="D10" s="3153">
        <f ca="1">结果表!D124</f>
        <v>81875</v>
      </c>
      <c r="E10" s="3153"/>
      <c r="F10" s="3153"/>
      <c r="G10" s="3153"/>
      <c r="H10" s="3153"/>
      <c r="I10" s="3153"/>
    </row>
    <row r="11" spans="1:9" ht="15">
      <c r="A11" s="3151" t="s">
        <v>1636</v>
      </c>
      <c r="B11" s="3151"/>
      <c r="C11" s="3151"/>
      <c r="D11" s="3152" t="str">
        <f ca="1">结果表!D125</f>
        <v>捌亿壹仟捌佰柒拾伍万元整</v>
      </c>
      <c r="E11" s="3152"/>
      <c r="F11" s="3152"/>
      <c r="G11" s="3152"/>
      <c r="H11" s="3152"/>
      <c r="I11" s="3152"/>
    </row>
    <row r="12" spans="1:9" ht="15.75">
      <c r="A12" s="3153" t="str">
        <f>结果表!A126</f>
        <v/>
      </c>
      <c r="B12" s="3153"/>
      <c r="C12" s="3153"/>
      <c r="D12" s="3153" t="str">
        <f>结果表!D126</f>
        <v>——</v>
      </c>
      <c r="E12" s="3153"/>
      <c r="F12" s="3153"/>
      <c r="G12" s="3153"/>
      <c r="H12" s="3153"/>
      <c r="I12" s="3153"/>
    </row>
    <row r="13" spans="1:9" ht="15.75" thickBot="1">
      <c r="A13" s="3157" t="s">
        <v>1636</v>
      </c>
      <c r="B13" s="3157"/>
      <c r="C13" s="3157"/>
      <c r="D13" s="3158" t="e">
        <f>结果表!D127</f>
        <v>#VALUE!</v>
      </c>
      <c r="E13" s="3158"/>
      <c r="F13" s="3158"/>
      <c r="G13" s="3158"/>
      <c r="H13" s="3158"/>
      <c r="I13" s="3158"/>
    </row>
    <row r="14" spans="1:9" ht="15" thickTop="1">
      <c r="A14" s="3159" t="s">
        <v>1641</v>
      </c>
      <c r="B14" s="3159"/>
      <c r="C14" s="3159"/>
      <c r="D14" s="3159"/>
      <c r="E14" s="3159"/>
      <c r="F14" s="3159"/>
      <c r="G14" s="3159"/>
      <c r="H14" s="3159"/>
      <c r="I14" s="3159"/>
    </row>
    <row r="16" spans="1:9" ht="18.75">
      <c r="A16" s="1974" t="s">
        <v>1624</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2" customWidth="1"/>
    <col min="2" max="5" width="10.25" style="810" customWidth="1"/>
    <col min="6" max="6" width="9" style="810"/>
    <col min="7" max="8" width="9" style="825"/>
    <col min="9" max="16384" width="9" style="810"/>
  </cols>
  <sheetData>
    <row r="1" spans="1:19">
      <c r="A1" s="3483" t="s">
        <v>156</v>
      </c>
      <c r="B1" s="3483"/>
      <c r="C1" s="3483"/>
      <c r="D1" s="3483"/>
      <c r="E1" s="3483"/>
      <c r="F1" s="3483"/>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484" t="s">
        <v>169</v>
      </c>
      <c r="B2" s="3484"/>
      <c r="C2" s="3484"/>
      <c r="D2" s="3484"/>
      <c r="E2" s="3484"/>
      <c r="F2" s="3484"/>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485"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486"/>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1050</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1050</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483" t="s">
        <v>868</v>
      </c>
      <c r="B1" s="3483"/>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37" t="s">
        <v>875</v>
      </c>
      <c r="B5" s="838" t="s">
        <v>876</v>
      </c>
      <c r="C5" s="1062">
        <v>8.8999999999999996E-2</v>
      </c>
      <c r="D5" s="1062">
        <v>7.3999999999999996E-2</v>
      </c>
      <c r="E5" s="1062">
        <v>7.4999999999999997E-2</v>
      </c>
      <c r="F5" s="1063">
        <v>0.1</v>
      </c>
    </row>
    <row r="6" spans="1:6" ht="14.25" thickBot="1">
      <c r="A6" s="837" t="s">
        <v>212</v>
      </c>
      <c r="B6" s="831" t="s">
        <v>877</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878</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879</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880</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881</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882</v>
      </c>
      <c r="C72" s="1077"/>
      <c r="D72" s="1077"/>
      <c r="E72" s="1077"/>
      <c r="F72" s="1065">
        <v>0.05</v>
      </c>
    </row>
    <row r="73" spans="1:6" ht="14.25" thickBot="1">
      <c r="A73" s="837" t="s">
        <v>137</v>
      </c>
      <c r="B73" s="831" t="s">
        <v>883</v>
      </c>
      <c r="C73" s="1077"/>
      <c r="D73" s="1077"/>
      <c r="E73" s="1077"/>
      <c r="F73" s="1065">
        <v>0.05</v>
      </c>
    </row>
    <row r="74" spans="1:6" ht="14.25" thickBot="1">
      <c r="A74" s="837" t="s">
        <v>137</v>
      </c>
      <c r="B74" s="831" t="s">
        <v>884</v>
      </c>
      <c r="C74" s="1077"/>
      <c r="D74" s="1077"/>
      <c r="E74" s="1077"/>
      <c r="F74" s="1065">
        <v>0.05</v>
      </c>
    </row>
    <row r="75" spans="1:6" ht="14.25" thickBot="1">
      <c r="A75" s="847" t="s">
        <v>137</v>
      </c>
      <c r="B75" s="843" t="s">
        <v>885</v>
      </c>
      <c r="C75" s="1074"/>
      <c r="D75" s="1074"/>
      <c r="E75" s="1074"/>
      <c r="F75" s="1067">
        <v>0.05</v>
      </c>
    </row>
    <row r="76" spans="1:6" ht="14.25" thickBot="1">
      <c r="A76" s="837" t="s">
        <v>523</v>
      </c>
      <c r="B76" s="838" t="s">
        <v>886</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887</v>
      </c>
      <c r="C102" s="1077"/>
      <c r="D102" s="1077"/>
      <c r="E102" s="1077"/>
      <c r="F102" s="1065">
        <v>0.05</v>
      </c>
    </row>
    <row r="103" spans="1:6" ht="24.75" thickBot="1">
      <c r="A103" s="837" t="s">
        <v>523</v>
      </c>
      <c r="B103" s="831" t="s">
        <v>888</v>
      </c>
      <c r="C103" s="1077"/>
      <c r="D103" s="1077"/>
      <c r="E103" s="1077"/>
      <c r="F103" s="1065">
        <v>0.05</v>
      </c>
    </row>
    <row r="104" spans="1:6" ht="14.25" thickBot="1">
      <c r="A104" s="837" t="s">
        <v>523</v>
      </c>
      <c r="B104" s="831" t="s">
        <v>889</v>
      </c>
      <c r="C104" s="1077"/>
      <c r="D104" s="1077"/>
      <c r="E104" s="1077"/>
      <c r="F104" s="1065">
        <v>0.05</v>
      </c>
    </row>
    <row r="105" spans="1:6" ht="14.25" thickBot="1">
      <c r="A105" s="837" t="s">
        <v>523</v>
      </c>
      <c r="B105" s="831" t="s">
        <v>890</v>
      </c>
      <c r="C105" s="1077"/>
      <c r="D105" s="1077"/>
      <c r="E105" s="1077"/>
      <c r="F105" s="1065">
        <v>0.05</v>
      </c>
    </row>
    <row r="106" spans="1:6" ht="14.25" thickBot="1">
      <c r="A106" s="837" t="s">
        <v>523</v>
      </c>
      <c r="B106" s="831" t="s">
        <v>891</v>
      </c>
      <c r="C106" s="1077"/>
      <c r="D106" s="1077"/>
      <c r="E106" s="1077"/>
      <c r="F106" s="1065">
        <v>0.05</v>
      </c>
    </row>
    <row r="107" spans="1:6" ht="24.75" thickBot="1">
      <c r="A107" s="837" t="s">
        <v>523</v>
      </c>
      <c r="B107" s="831" t="s">
        <v>892</v>
      </c>
      <c r="C107" s="1077"/>
      <c r="D107" s="1077"/>
      <c r="E107" s="1077"/>
      <c r="F107" s="1065">
        <v>0.05</v>
      </c>
    </row>
    <row r="108" spans="1:6" ht="24.75" thickBot="1">
      <c r="A108" s="837" t="s">
        <v>523</v>
      </c>
      <c r="B108" s="831" t="s">
        <v>893</v>
      </c>
      <c r="C108" s="1077"/>
      <c r="D108" s="1077"/>
      <c r="E108" s="1077"/>
      <c r="F108" s="1065">
        <v>0.05</v>
      </c>
    </row>
    <row r="109" spans="1:6" ht="24.75" thickBot="1">
      <c r="A109" s="847" t="s">
        <v>523</v>
      </c>
      <c r="B109" s="843" t="s">
        <v>894</v>
      </c>
      <c r="C109" s="1074"/>
      <c r="D109" s="1074"/>
      <c r="E109" s="1074"/>
      <c r="F109" s="1067">
        <v>0.05</v>
      </c>
    </row>
    <row r="110" spans="1:6" ht="14.25" thickBot="1">
      <c r="A110" s="837" t="s">
        <v>56</v>
      </c>
      <c r="B110" s="838" t="s">
        <v>895</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896</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897</v>
      </c>
      <c r="C138" s="1064">
        <v>0.105</v>
      </c>
      <c r="D138" s="1064">
        <v>0.125</v>
      </c>
      <c r="E138" s="1064">
        <v>0.112</v>
      </c>
      <c r="F138" s="1076"/>
    </row>
    <row r="139" spans="1:6" ht="14.25" thickBot="1">
      <c r="A139" s="837" t="s">
        <v>56</v>
      </c>
      <c r="B139" s="831" t="s">
        <v>898</v>
      </c>
      <c r="C139" s="1064">
        <v>0.127</v>
      </c>
      <c r="D139" s="1064">
        <v>0.127</v>
      </c>
      <c r="E139" s="1064">
        <v>0.122</v>
      </c>
      <c r="F139" s="1065">
        <v>0.13</v>
      </c>
    </row>
    <row r="140" spans="1:6" ht="14.25" thickBot="1">
      <c r="A140" s="837" t="s">
        <v>56</v>
      </c>
      <c r="B140" s="831" t="s">
        <v>899</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900</v>
      </c>
      <c r="C144" s="1069">
        <v>0.126</v>
      </c>
      <c r="D144" s="1069">
        <v>0.126</v>
      </c>
      <c r="E144" s="1069">
        <v>0.121</v>
      </c>
      <c r="F144" s="1076"/>
    </row>
    <row r="145" spans="1:6" ht="14.25" thickBot="1">
      <c r="A145" s="847" t="s">
        <v>56</v>
      </c>
      <c r="B145" s="1070" t="s">
        <v>901</v>
      </c>
      <c r="C145" s="1078"/>
      <c r="D145" s="1078"/>
      <c r="E145" s="1078"/>
      <c r="F145" s="1071">
        <v>0.05</v>
      </c>
    </row>
    <row r="146" spans="1:6" ht="24.75" thickBot="1">
      <c r="A146" s="1072" t="s">
        <v>56</v>
      </c>
      <c r="B146" s="841" t="s">
        <v>902</v>
      </c>
      <c r="C146" s="1077"/>
      <c r="D146" s="1077"/>
      <c r="E146" s="1077"/>
      <c r="F146" s="1073">
        <v>0.05</v>
      </c>
    </row>
    <row r="147" spans="1:6" ht="24.75" thickBot="1">
      <c r="A147" s="837" t="s">
        <v>56</v>
      </c>
      <c r="B147" s="831" t="s">
        <v>903</v>
      </c>
      <c r="C147" s="1077"/>
      <c r="D147" s="1077"/>
      <c r="E147" s="1077"/>
      <c r="F147" s="1065">
        <v>0.05</v>
      </c>
    </row>
    <row r="148" spans="1:6" ht="24.75" thickBot="1">
      <c r="A148" s="837" t="s">
        <v>56</v>
      </c>
      <c r="B148" s="831" t="s">
        <v>904</v>
      </c>
      <c r="C148" s="1077"/>
      <c r="D148" s="1077"/>
      <c r="E148" s="1077"/>
      <c r="F148" s="1065">
        <v>0.05</v>
      </c>
    </row>
    <row r="149" spans="1:6" ht="24.75" thickBot="1">
      <c r="A149" s="837" t="s">
        <v>56</v>
      </c>
      <c r="B149" s="831" t="s">
        <v>905</v>
      </c>
      <c r="C149" s="1077"/>
      <c r="D149" s="1077"/>
      <c r="E149" s="1077"/>
      <c r="F149" s="1065">
        <v>0.05</v>
      </c>
    </row>
    <row r="150" spans="1:6" ht="24.75" thickBot="1">
      <c r="A150" s="837" t="s">
        <v>56</v>
      </c>
      <c r="B150" s="831" t="s">
        <v>906</v>
      </c>
      <c r="C150" s="1077"/>
      <c r="D150" s="1077"/>
      <c r="E150" s="1077"/>
      <c r="F150" s="1065">
        <v>0.05</v>
      </c>
    </row>
    <row r="151" spans="1:6" ht="24.75" thickBot="1">
      <c r="A151" s="837" t="s">
        <v>56</v>
      </c>
      <c r="B151" s="831" t="s">
        <v>907</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908</v>
      </c>
      <c r="C153" s="1077"/>
      <c r="D153" s="1077"/>
      <c r="E153" s="1077"/>
      <c r="F153" s="1065">
        <v>0.05</v>
      </c>
    </row>
    <row r="154" spans="1:6" ht="14.25" thickBot="1">
      <c r="A154" s="837" t="s">
        <v>56</v>
      </c>
      <c r="B154" s="831" t="s">
        <v>909</v>
      </c>
      <c r="C154" s="1077"/>
      <c r="D154" s="1077"/>
      <c r="E154" s="1077"/>
      <c r="F154" s="1065">
        <v>0.05</v>
      </c>
    </row>
    <row r="155" spans="1:6" ht="24.75" thickBot="1">
      <c r="A155" s="837" t="s">
        <v>56</v>
      </c>
      <c r="B155" s="831" t="s">
        <v>910</v>
      </c>
      <c r="C155" s="1077"/>
      <c r="D155" s="1077"/>
      <c r="E155" s="1077"/>
      <c r="F155" s="1065">
        <v>0.05</v>
      </c>
    </row>
    <row r="156" spans="1:6" ht="24.75" thickBot="1">
      <c r="A156" s="837" t="s">
        <v>56</v>
      </c>
      <c r="B156" s="831" t="s">
        <v>911</v>
      </c>
      <c r="C156" s="1077"/>
      <c r="D156" s="1077"/>
      <c r="E156" s="1077"/>
      <c r="F156" s="1065">
        <v>0.05</v>
      </c>
    </row>
    <row r="157" spans="1:6" ht="14.25" thickBot="1">
      <c r="A157" s="847" t="s">
        <v>56</v>
      </c>
      <c r="B157" s="843" t="s">
        <v>912</v>
      </c>
      <c r="C157" s="1074"/>
      <c r="D157" s="1074"/>
      <c r="E157" s="1074"/>
      <c r="F157" s="1067">
        <v>0.05</v>
      </c>
    </row>
    <row r="158" spans="1:6" ht="14.25" thickBot="1">
      <c r="A158" s="837" t="s">
        <v>526</v>
      </c>
      <c r="B158" s="838" t="s">
        <v>913</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914</v>
      </c>
      <c r="C171" s="1064">
        <v>0.127</v>
      </c>
      <c r="D171" s="1064">
        <v>0.126</v>
      </c>
      <c r="E171" s="1064">
        <v>0.126</v>
      </c>
      <c r="F171" s="1065">
        <v>0.11799999999999999</v>
      </c>
    </row>
    <row r="172" spans="1:6" ht="14.25" thickBot="1">
      <c r="A172" s="837" t="s">
        <v>526</v>
      </c>
      <c r="B172" s="831" t="s">
        <v>915</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916</v>
      </c>
      <c r="C174" s="1064">
        <v>0.13</v>
      </c>
      <c r="D174" s="1064">
        <v>0.13</v>
      </c>
      <c r="E174" s="1064">
        <v>0.13</v>
      </c>
      <c r="F174" s="1065">
        <v>0.13</v>
      </c>
    </row>
    <row r="175" spans="1:6" ht="14.25" thickBot="1">
      <c r="A175" s="837" t="s">
        <v>526</v>
      </c>
      <c r="B175" s="831" t="s">
        <v>917</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918</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919</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920</v>
      </c>
      <c r="C185" s="1064">
        <v>0.127</v>
      </c>
      <c r="D185" s="1064">
        <v>0.127</v>
      </c>
      <c r="E185" s="1064">
        <v>0.128</v>
      </c>
      <c r="F185" s="1065">
        <v>0.13</v>
      </c>
    </row>
    <row r="186" spans="1:6" ht="24.75" thickBot="1">
      <c r="A186" s="837" t="s">
        <v>526</v>
      </c>
      <c r="B186" s="831" t="s">
        <v>921</v>
      </c>
      <c r="C186" s="1077"/>
      <c r="D186" s="1077"/>
      <c r="E186" s="1077"/>
      <c r="F186" s="1065">
        <v>0.05</v>
      </c>
    </row>
    <row r="187" spans="1:6" ht="14.25" thickBot="1">
      <c r="A187" s="837" t="s">
        <v>526</v>
      </c>
      <c r="B187" s="831" t="s">
        <v>922</v>
      </c>
      <c r="C187" s="1077"/>
      <c r="D187" s="1077"/>
      <c r="E187" s="1077"/>
      <c r="F187" s="1065">
        <v>0.05</v>
      </c>
    </row>
    <row r="188" spans="1:6" ht="14.25" thickBot="1">
      <c r="A188" s="837" t="s">
        <v>526</v>
      </c>
      <c r="B188" s="831" t="s">
        <v>923</v>
      </c>
      <c r="C188" s="1077"/>
      <c r="D188" s="1077"/>
      <c r="E188" s="1077"/>
      <c r="F188" s="1065">
        <v>0.05</v>
      </c>
    </row>
    <row r="189" spans="1:6" ht="24.75" thickBot="1">
      <c r="A189" s="837" t="s">
        <v>526</v>
      </c>
      <c r="B189" s="831" t="s">
        <v>924</v>
      </c>
      <c r="C189" s="1077"/>
      <c r="D189" s="1077"/>
      <c r="E189" s="1077"/>
      <c r="F189" s="1065">
        <v>0.05</v>
      </c>
    </row>
    <row r="190" spans="1:6" ht="24.75" thickBot="1">
      <c r="A190" s="837" t="s">
        <v>526</v>
      </c>
      <c r="B190" s="831" t="s">
        <v>925</v>
      </c>
      <c r="C190" s="1077"/>
      <c r="D190" s="1077"/>
      <c r="E190" s="1077"/>
      <c r="F190" s="1065">
        <v>0.05</v>
      </c>
    </row>
    <row r="191" spans="1:6" ht="24.75" thickBot="1">
      <c r="A191" s="837" t="s">
        <v>526</v>
      </c>
      <c r="B191" s="831" t="s">
        <v>926</v>
      </c>
      <c r="C191" s="1077"/>
      <c r="D191" s="1077"/>
      <c r="E191" s="1077"/>
      <c r="F191" s="1065">
        <v>0.05</v>
      </c>
    </row>
    <row r="192" spans="1:6" ht="24.75" thickBot="1">
      <c r="A192" s="837" t="s">
        <v>526</v>
      </c>
      <c r="B192" s="831" t="s">
        <v>927</v>
      </c>
      <c r="C192" s="1077"/>
      <c r="D192" s="1077"/>
      <c r="E192" s="1077"/>
      <c r="F192" s="1065">
        <v>0.05</v>
      </c>
    </row>
    <row r="193" spans="1:6" ht="24.75" thickBot="1">
      <c r="A193" s="837" t="s">
        <v>526</v>
      </c>
      <c r="B193" s="831" t="s">
        <v>928</v>
      </c>
      <c r="C193" s="1077"/>
      <c r="D193" s="1077"/>
      <c r="E193" s="1077"/>
      <c r="F193" s="1065">
        <v>0.05</v>
      </c>
    </row>
    <row r="194" spans="1:6" ht="24.75" thickBot="1">
      <c r="A194" s="837" t="s">
        <v>526</v>
      </c>
      <c r="B194" s="831" t="s">
        <v>929</v>
      </c>
      <c r="C194" s="1077"/>
      <c r="D194" s="1077"/>
      <c r="E194" s="1077"/>
      <c r="F194" s="1065">
        <v>0.05</v>
      </c>
    </row>
    <row r="195" spans="1:6" ht="14.25" thickBot="1">
      <c r="A195" s="837" t="s">
        <v>526</v>
      </c>
      <c r="B195" s="831" t="s">
        <v>930</v>
      </c>
      <c r="C195" s="1077"/>
      <c r="D195" s="1077"/>
      <c r="E195" s="1077"/>
      <c r="F195" s="1065">
        <v>0.05</v>
      </c>
    </row>
    <row r="196" spans="1:6" ht="24.75" thickBot="1">
      <c r="A196" s="837" t="s">
        <v>526</v>
      </c>
      <c r="B196" s="831" t="s">
        <v>931</v>
      </c>
      <c r="C196" s="1077"/>
      <c r="D196" s="1077"/>
      <c r="E196" s="1077"/>
      <c r="F196" s="1065">
        <v>0.05</v>
      </c>
    </row>
    <row r="197" spans="1:6" ht="24.75" thickBot="1">
      <c r="A197" s="837" t="s">
        <v>526</v>
      </c>
      <c r="B197" s="831" t="s">
        <v>932</v>
      </c>
      <c r="C197" s="1077"/>
      <c r="D197" s="1077"/>
      <c r="E197" s="1077"/>
      <c r="F197" s="1065">
        <v>0.05</v>
      </c>
    </row>
    <row r="198" spans="1:6" ht="24.75" thickBot="1">
      <c r="A198" s="837" t="s">
        <v>526</v>
      </c>
      <c r="B198" s="831" t="s">
        <v>933</v>
      </c>
      <c r="C198" s="1077"/>
      <c r="D198" s="1077"/>
      <c r="E198" s="1077"/>
      <c r="F198" s="1065">
        <v>0.05</v>
      </c>
    </row>
    <row r="199" spans="1:6" ht="24.75" thickBot="1">
      <c r="A199" s="837" t="s">
        <v>526</v>
      </c>
      <c r="B199" s="831" t="s">
        <v>934</v>
      </c>
      <c r="C199" s="1077"/>
      <c r="D199" s="1077"/>
      <c r="E199" s="1077"/>
      <c r="F199" s="1065">
        <v>0.05</v>
      </c>
    </row>
    <row r="200" spans="1:6" ht="24.75" thickBot="1">
      <c r="A200" s="837" t="s">
        <v>526</v>
      </c>
      <c r="B200" s="831" t="s">
        <v>935</v>
      </c>
      <c r="C200" s="1077"/>
      <c r="D200" s="1077"/>
      <c r="E200" s="1077"/>
      <c r="F200" s="1065">
        <v>0.05</v>
      </c>
    </row>
    <row r="201" spans="1:6" ht="24.75" thickBot="1">
      <c r="A201" s="837" t="s">
        <v>526</v>
      </c>
      <c r="B201" s="831" t="s">
        <v>936</v>
      </c>
      <c r="C201" s="1077"/>
      <c r="D201" s="1077"/>
      <c r="E201" s="1077"/>
      <c r="F201" s="1065">
        <v>0.05</v>
      </c>
    </row>
    <row r="202" spans="1:6" ht="24.75" thickBot="1">
      <c r="A202" s="837" t="s">
        <v>526</v>
      </c>
      <c r="B202" s="831" t="s">
        <v>937</v>
      </c>
      <c r="C202" s="1077"/>
      <c r="D202" s="1077"/>
      <c r="E202" s="1077"/>
      <c r="F202" s="1065">
        <v>0.05</v>
      </c>
    </row>
    <row r="203" spans="1:6" ht="24.75" thickBot="1">
      <c r="A203" s="837" t="s">
        <v>526</v>
      </c>
      <c r="B203" s="831" t="s">
        <v>938</v>
      </c>
      <c r="C203" s="1077"/>
      <c r="D203" s="1077"/>
      <c r="E203" s="1077"/>
      <c r="F203" s="1065">
        <v>0.05</v>
      </c>
    </row>
    <row r="204" spans="1:6" ht="14.25" thickBot="1">
      <c r="A204" s="837" t="s">
        <v>526</v>
      </c>
      <c r="B204" s="831" t="s">
        <v>939</v>
      </c>
      <c r="C204" s="1077"/>
      <c r="D204" s="1077"/>
      <c r="E204" s="1077"/>
      <c r="F204" s="1065">
        <v>0.05</v>
      </c>
    </row>
    <row r="205" spans="1:6" ht="14.25" thickBot="1">
      <c r="A205" s="847" t="s">
        <v>526</v>
      </c>
      <c r="B205" s="843" t="s">
        <v>940</v>
      </c>
      <c r="C205" s="1074"/>
      <c r="D205" s="1074"/>
      <c r="E205" s="1074"/>
      <c r="F205" s="1067">
        <v>0.05</v>
      </c>
    </row>
    <row r="206" spans="1:6" ht="14.25" thickBot="1">
      <c r="A206" s="837" t="s">
        <v>528</v>
      </c>
      <c r="B206" s="838" t="s">
        <v>941</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942</v>
      </c>
      <c r="C210" s="1064">
        <v>0.15</v>
      </c>
      <c r="D210" s="1064">
        <v>0.15</v>
      </c>
      <c r="E210" s="1064">
        <v>0.15</v>
      </c>
      <c r="F210" s="1065">
        <v>0.13800000000000001</v>
      </c>
    </row>
    <row r="211" spans="1:6" ht="14.25" thickBot="1">
      <c r="A211" s="837" t="s">
        <v>528</v>
      </c>
      <c r="B211" s="831" t="s">
        <v>943</v>
      </c>
      <c r="C211" s="1064">
        <v>0.13700000000000001</v>
      </c>
      <c r="D211" s="1064">
        <v>0.13500000000000001</v>
      </c>
      <c r="E211" s="1064">
        <v>0.13600000000000001</v>
      </c>
      <c r="F211" s="1065">
        <v>0.1</v>
      </c>
    </row>
    <row r="212" spans="1:6" ht="14.25" thickBot="1">
      <c r="A212" s="837" t="s">
        <v>528</v>
      </c>
      <c r="B212" s="831" t="s">
        <v>944</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945</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946</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947</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948</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949</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950</v>
      </c>
      <c r="C231" s="1064">
        <v>0.128</v>
      </c>
      <c r="D231" s="1064">
        <v>0.125</v>
      </c>
      <c r="E231" s="1064">
        <v>0.13200000000000001</v>
      </c>
      <c r="F231" s="1076"/>
    </row>
    <row r="232" spans="1:6" ht="14.25" thickBot="1">
      <c r="A232" s="837" t="s">
        <v>528</v>
      </c>
      <c r="B232" s="831" t="s">
        <v>951</v>
      </c>
      <c r="C232" s="1064">
        <v>0.14499999999999999</v>
      </c>
      <c r="D232" s="1064">
        <v>0.14399999999999999</v>
      </c>
      <c r="E232" s="1064">
        <v>0.14599999999999999</v>
      </c>
      <c r="F232" s="1065">
        <v>0.13800000000000001</v>
      </c>
    </row>
    <row r="233" spans="1:6" ht="14.25" thickBot="1">
      <c r="A233" s="837" t="s">
        <v>528</v>
      </c>
      <c r="B233" s="831" t="s">
        <v>952</v>
      </c>
      <c r="C233" s="1064">
        <v>0.14499999999999999</v>
      </c>
      <c r="D233" s="1064">
        <v>0.14299999999999999</v>
      </c>
      <c r="E233" s="1064">
        <v>0.14199999999999999</v>
      </c>
      <c r="F233" s="1076"/>
    </row>
    <row r="234" spans="1:6" ht="14.25" thickBot="1">
      <c r="A234" s="837" t="s">
        <v>528</v>
      </c>
      <c r="B234" s="831" t="s">
        <v>953</v>
      </c>
      <c r="C234" s="1064">
        <v>0.14000000000000001</v>
      </c>
      <c r="D234" s="1064">
        <v>0.14000000000000001</v>
      </c>
      <c r="E234" s="1064">
        <v>0.14399999999999999</v>
      </c>
      <c r="F234" s="1076"/>
    </row>
    <row r="235" spans="1:6" ht="14.25" thickBot="1">
      <c r="A235" s="837" t="s">
        <v>528</v>
      </c>
      <c r="B235" s="831" t="s">
        <v>954</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955</v>
      </c>
      <c r="C237" s="1077"/>
      <c r="D237" s="1077"/>
      <c r="E237" s="1077"/>
      <c r="F237" s="1065">
        <v>0.05</v>
      </c>
    </row>
    <row r="238" spans="1:6" ht="24.75" thickBot="1">
      <c r="A238" s="837" t="s">
        <v>528</v>
      </c>
      <c r="B238" s="831" t="s">
        <v>956</v>
      </c>
      <c r="C238" s="1077"/>
      <c r="D238" s="1077"/>
      <c r="E238" s="1077"/>
      <c r="F238" s="1065">
        <v>0.05</v>
      </c>
    </row>
    <row r="239" spans="1:6" ht="24.75" thickBot="1">
      <c r="A239" s="837" t="s">
        <v>528</v>
      </c>
      <c r="B239" s="831" t="s">
        <v>957</v>
      </c>
      <c r="C239" s="1077"/>
      <c r="D239" s="1077"/>
      <c r="E239" s="1077"/>
      <c r="F239" s="1065">
        <v>0.05</v>
      </c>
    </row>
    <row r="240" spans="1:6" ht="24.75" thickBot="1">
      <c r="A240" s="837" t="s">
        <v>528</v>
      </c>
      <c r="B240" s="831" t="s">
        <v>958</v>
      </c>
      <c r="C240" s="1077"/>
      <c r="D240" s="1077"/>
      <c r="E240" s="1077"/>
      <c r="F240" s="1065">
        <v>0.05</v>
      </c>
    </row>
    <row r="241" spans="1:6" ht="24.75" thickBot="1">
      <c r="A241" s="837" t="s">
        <v>528</v>
      </c>
      <c r="B241" s="831" t="s">
        <v>959</v>
      </c>
      <c r="C241" s="1077"/>
      <c r="D241" s="1077"/>
      <c r="E241" s="1077"/>
      <c r="F241" s="1065">
        <v>0.05</v>
      </c>
    </row>
    <row r="242" spans="1:6" ht="24.75" thickBot="1">
      <c r="A242" s="837" t="s">
        <v>528</v>
      </c>
      <c r="B242" s="831" t="s">
        <v>960</v>
      </c>
      <c r="C242" s="1077"/>
      <c r="D242" s="1077"/>
      <c r="E242" s="1077"/>
      <c r="F242" s="1065">
        <v>0.05</v>
      </c>
    </row>
    <row r="243" spans="1:6" ht="24.75" thickBot="1">
      <c r="A243" s="837" t="s">
        <v>528</v>
      </c>
      <c r="B243" s="831" t="s">
        <v>961</v>
      </c>
      <c r="C243" s="1077"/>
      <c r="D243" s="1077"/>
      <c r="E243" s="1077"/>
      <c r="F243" s="1065">
        <v>0.05</v>
      </c>
    </row>
    <row r="244" spans="1:6" ht="24.75" thickBot="1">
      <c r="A244" s="847" t="s">
        <v>528</v>
      </c>
      <c r="B244" s="843" t="s">
        <v>962</v>
      </c>
      <c r="C244" s="1074"/>
      <c r="D244" s="1074"/>
      <c r="E244" s="1074"/>
      <c r="F244" s="1067">
        <v>0.05</v>
      </c>
    </row>
    <row r="245" spans="1:6" ht="14.25" thickBot="1">
      <c r="A245" s="837" t="s">
        <v>530</v>
      </c>
      <c r="B245" s="838" t="s">
        <v>963</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964</v>
      </c>
      <c r="C247" s="1064">
        <v>0.15</v>
      </c>
      <c r="D247" s="1064">
        <v>0.15</v>
      </c>
      <c r="E247" s="1064">
        <v>0.15</v>
      </c>
      <c r="F247" s="1065">
        <v>0.15</v>
      </c>
    </row>
    <row r="248" spans="1:6" ht="14.25" thickBot="1">
      <c r="A248" s="837" t="s">
        <v>530</v>
      </c>
      <c r="B248" s="831" t="s">
        <v>965</v>
      </c>
      <c r="C248" s="1064">
        <v>0.15</v>
      </c>
      <c r="D248" s="1064">
        <v>0.15</v>
      </c>
      <c r="E248" s="1064">
        <v>0.15</v>
      </c>
      <c r="F248" s="1065">
        <v>0.14000000000000001</v>
      </c>
    </row>
    <row r="249" spans="1:6" ht="14.25" thickBot="1">
      <c r="A249" s="837" t="s">
        <v>530</v>
      </c>
      <c r="B249" s="831" t="s">
        <v>966</v>
      </c>
      <c r="C249" s="1064">
        <v>0.15</v>
      </c>
      <c r="D249" s="1064">
        <v>0.14899999999999999</v>
      </c>
      <c r="E249" s="1064">
        <v>0.15</v>
      </c>
      <c r="F249" s="1065">
        <v>0.1</v>
      </c>
    </row>
    <row r="250" spans="1:6" ht="14.25" thickBot="1">
      <c r="A250" s="837" t="s">
        <v>530</v>
      </c>
      <c r="B250" s="831" t="s">
        <v>967</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968</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969</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970</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971</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972</v>
      </c>
      <c r="C273" s="1064">
        <v>0.14199999999999999</v>
      </c>
      <c r="D273" s="1064">
        <v>0.14299999999999999</v>
      </c>
      <c r="E273" s="1064">
        <v>0.15</v>
      </c>
      <c r="F273" s="1065">
        <v>0.1</v>
      </c>
    </row>
    <row r="274" spans="1:6" ht="14.25" thickBot="1">
      <c r="A274" s="837" t="s">
        <v>530</v>
      </c>
      <c r="B274" s="831" t="s">
        <v>973</v>
      </c>
      <c r="C274" s="1064">
        <v>0.14799999999999999</v>
      </c>
      <c r="D274" s="1064">
        <v>0.14799999999999999</v>
      </c>
      <c r="E274" s="1064">
        <v>0.15</v>
      </c>
      <c r="F274" s="1065">
        <v>6.7000000000000004E-2</v>
      </c>
    </row>
    <row r="275" spans="1:6" ht="14.25" thickBot="1">
      <c r="A275" s="837" t="s">
        <v>530</v>
      </c>
      <c r="B275" s="831" t="s">
        <v>974</v>
      </c>
      <c r="C275" s="1064">
        <v>0.15</v>
      </c>
      <c r="D275" s="1064">
        <v>0.15</v>
      </c>
      <c r="E275" s="1064">
        <v>0.15</v>
      </c>
      <c r="F275" s="1065">
        <v>0.15</v>
      </c>
    </row>
    <row r="276" spans="1:6" ht="14.25" thickBot="1">
      <c r="A276" s="837" t="s">
        <v>530</v>
      </c>
      <c r="B276" s="831" t="s">
        <v>975</v>
      </c>
      <c r="C276" s="1064">
        <v>0.14499999999999999</v>
      </c>
      <c r="D276" s="1064">
        <v>0.14299999999999999</v>
      </c>
      <c r="E276" s="1064">
        <v>0.15</v>
      </c>
      <c r="F276" s="1065">
        <v>5.8999999999999997E-2</v>
      </c>
    </row>
    <row r="277" spans="1:6" ht="14.25" thickBot="1">
      <c r="A277" s="837" t="s">
        <v>530</v>
      </c>
      <c r="B277" s="831" t="s">
        <v>976</v>
      </c>
      <c r="C277" s="1064">
        <v>0.15</v>
      </c>
      <c r="D277" s="1064">
        <v>0.15</v>
      </c>
      <c r="E277" s="1064">
        <v>0.15</v>
      </c>
      <c r="F277" s="1065">
        <v>0.121</v>
      </c>
    </row>
    <row r="278" spans="1:6" ht="14.25" thickBot="1">
      <c r="A278" s="837" t="s">
        <v>530</v>
      </c>
      <c r="B278" s="831" t="s">
        <v>977</v>
      </c>
      <c r="C278" s="1064">
        <v>0.15</v>
      </c>
      <c r="D278" s="1064">
        <v>0.15</v>
      </c>
      <c r="E278" s="1064">
        <v>0.15</v>
      </c>
      <c r="F278" s="1065">
        <v>0.13800000000000001</v>
      </c>
    </row>
    <row r="279" spans="1:6" ht="24.75" thickBot="1">
      <c r="A279" s="837" t="s">
        <v>530</v>
      </c>
      <c r="B279" s="831" t="s">
        <v>978</v>
      </c>
      <c r="C279" s="1077"/>
      <c r="D279" s="1077"/>
      <c r="E279" s="1077"/>
      <c r="F279" s="1065">
        <v>0.05</v>
      </c>
    </row>
    <row r="280" spans="1:6" ht="24.75" thickBot="1">
      <c r="A280" s="837" t="s">
        <v>530</v>
      </c>
      <c r="B280" s="831" t="s">
        <v>979</v>
      </c>
      <c r="C280" s="1077"/>
      <c r="D280" s="1077"/>
      <c r="E280" s="1077"/>
      <c r="F280" s="1065">
        <v>0.05</v>
      </c>
    </row>
    <row r="281" spans="1:6" ht="24.75" thickBot="1">
      <c r="A281" s="837" t="s">
        <v>530</v>
      </c>
      <c r="B281" s="831" t="s">
        <v>980</v>
      </c>
      <c r="C281" s="1077"/>
      <c r="D281" s="1077"/>
      <c r="E281" s="1077"/>
      <c r="F281" s="1065">
        <v>0.05</v>
      </c>
    </row>
    <row r="282" spans="1:6" ht="24.75" thickBot="1">
      <c r="A282" s="837" t="s">
        <v>530</v>
      </c>
      <c r="B282" s="831" t="s">
        <v>981</v>
      </c>
      <c r="C282" s="1077"/>
      <c r="D282" s="1077"/>
      <c r="E282" s="1077"/>
      <c r="F282" s="1065">
        <v>0.05</v>
      </c>
    </row>
    <row r="283" spans="1:6" ht="24.75" thickBot="1">
      <c r="A283" s="837" t="s">
        <v>530</v>
      </c>
      <c r="B283" s="831" t="s">
        <v>982</v>
      </c>
      <c r="C283" s="1077"/>
      <c r="D283" s="1077"/>
      <c r="E283" s="1077"/>
      <c r="F283" s="1065">
        <v>0.05</v>
      </c>
    </row>
    <row r="284" spans="1:6" ht="24.75" thickBot="1">
      <c r="A284" s="837" t="s">
        <v>530</v>
      </c>
      <c r="B284" s="831" t="s">
        <v>983</v>
      </c>
      <c r="C284" s="1077"/>
      <c r="D284" s="1077"/>
      <c r="E284" s="1077"/>
      <c r="F284" s="1065">
        <v>0.05</v>
      </c>
    </row>
    <row r="285" spans="1:6" ht="24.75" thickBot="1">
      <c r="A285" s="837" t="s">
        <v>530</v>
      </c>
      <c r="B285" s="831" t="s">
        <v>984</v>
      </c>
      <c r="C285" s="1077"/>
      <c r="D285" s="1077"/>
      <c r="E285" s="1077"/>
      <c r="F285" s="1065">
        <v>0.05</v>
      </c>
    </row>
    <row r="286" spans="1:6" ht="24.75" thickBot="1">
      <c r="A286" s="837" t="s">
        <v>530</v>
      </c>
      <c r="B286" s="831" t="s">
        <v>985</v>
      </c>
      <c r="C286" s="1077"/>
      <c r="D286" s="1077"/>
      <c r="E286" s="1077"/>
      <c r="F286" s="1065">
        <v>0.05</v>
      </c>
    </row>
    <row r="287" spans="1:6" ht="24.75" thickBot="1">
      <c r="A287" s="837" t="s">
        <v>530</v>
      </c>
      <c r="B287" s="831" t="s">
        <v>986</v>
      </c>
      <c r="C287" s="1077"/>
      <c r="D287" s="1077"/>
      <c r="E287" s="1077"/>
      <c r="F287" s="1065">
        <v>0.05</v>
      </c>
    </row>
    <row r="288" spans="1:6" ht="24.75" thickBot="1">
      <c r="A288" s="837" t="s">
        <v>530</v>
      </c>
      <c r="B288" s="831" t="s">
        <v>987</v>
      </c>
      <c r="C288" s="1077"/>
      <c r="D288" s="1077"/>
      <c r="E288" s="1077"/>
      <c r="F288" s="1065">
        <v>0.05</v>
      </c>
    </row>
    <row r="289" spans="1:6" ht="24.75" thickBot="1">
      <c r="A289" s="847" t="s">
        <v>530</v>
      </c>
      <c r="B289" s="843" t="s">
        <v>988</v>
      </c>
      <c r="C289" s="1074"/>
      <c r="D289" s="1074"/>
      <c r="E289" s="1074"/>
      <c r="F289" s="1067">
        <v>0.05</v>
      </c>
    </row>
    <row r="290" spans="1:6" ht="14.25" thickBot="1">
      <c r="A290" s="837" t="s">
        <v>534</v>
      </c>
      <c r="B290" s="838" t="s">
        <v>989</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990</v>
      </c>
      <c r="C292" s="1064">
        <v>0.15</v>
      </c>
      <c r="D292" s="1064">
        <v>0.15</v>
      </c>
      <c r="E292" s="1064">
        <v>0.15</v>
      </c>
      <c r="F292" s="1065">
        <v>0.14699999999999999</v>
      </c>
    </row>
    <row r="293" spans="1:6" ht="14.25" thickBot="1">
      <c r="A293" s="837" t="s">
        <v>534</v>
      </c>
      <c r="B293" s="831" t="s">
        <v>991</v>
      </c>
      <c r="C293" s="1077"/>
      <c r="D293" s="1077"/>
      <c r="E293" s="1077"/>
      <c r="F293" s="1065">
        <v>0.1</v>
      </c>
    </row>
    <row r="294" spans="1:6" ht="14.25" thickBot="1">
      <c r="A294" s="837" t="s">
        <v>534</v>
      </c>
      <c r="B294" s="831" t="s">
        <v>992</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993</v>
      </c>
      <c r="C296" s="1064">
        <v>0.15</v>
      </c>
      <c r="D296" s="1064">
        <v>0.15</v>
      </c>
      <c r="E296" s="1064">
        <v>0.15</v>
      </c>
      <c r="F296" s="1065">
        <v>0.15</v>
      </c>
    </row>
    <row r="297" spans="1:6" ht="14.25" thickBot="1">
      <c r="A297" s="837" t="s">
        <v>534</v>
      </c>
      <c r="B297" s="831" t="s">
        <v>994</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995</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996</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997</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998</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999</v>
      </c>
      <c r="C310" s="1064">
        <v>0.15</v>
      </c>
      <c r="D310" s="1064">
        <v>0.15</v>
      </c>
      <c r="E310" s="1064">
        <v>0.15</v>
      </c>
      <c r="F310" s="1065">
        <v>0.13700000000000001</v>
      </c>
    </row>
    <row r="311" spans="1:6" ht="14.25" thickBot="1">
      <c r="A311" s="837" t="s">
        <v>534</v>
      </c>
      <c r="B311" s="831" t="s">
        <v>1000</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1001</v>
      </c>
      <c r="C313" s="1064">
        <v>0.15</v>
      </c>
      <c r="D313" s="1064">
        <v>0.15</v>
      </c>
      <c r="E313" s="1064">
        <v>0.15</v>
      </c>
      <c r="F313" s="1065">
        <v>0.15</v>
      </c>
    </row>
    <row r="314" spans="1:6" ht="24.75" thickBot="1">
      <c r="A314" s="837" t="s">
        <v>534</v>
      </c>
      <c r="B314" s="831" t="s">
        <v>1002</v>
      </c>
      <c r="C314" s="1077"/>
      <c r="D314" s="1077"/>
      <c r="E314" s="1077"/>
      <c r="F314" s="1065">
        <v>0.05</v>
      </c>
    </row>
    <row r="315" spans="1:6" ht="24.75" thickBot="1">
      <c r="A315" s="837" t="s">
        <v>534</v>
      </c>
      <c r="B315" s="831" t="s">
        <v>1003</v>
      </c>
      <c r="C315" s="1077"/>
      <c r="D315" s="1077"/>
      <c r="E315" s="1077"/>
      <c r="F315" s="1065">
        <v>0.05</v>
      </c>
    </row>
    <row r="316" spans="1:6" ht="24.75" thickBot="1">
      <c r="A316" s="847" t="s">
        <v>534</v>
      </c>
      <c r="B316" s="843" t="s">
        <v>1004</v>
      </c>
      <c r="C316" s="1074"/>
      <c r="D316" s="1074"/>
      <c r="E316" s="1074"/>
      <c r="F316" s="1067">
        <v>0.05</v>
      </c>
    </row>
    <row r="317" spans="1:6" ht="14.25" thickBot="1">
      <c r="A317" s="837" t="s">
        <v>1005</v>
      </c>
      <c r="B317" s="838" t="s">
        <v>1006</v>
      </c>
      <c r="C317" s="1062">
        <v>0.15</v>
      </c>
      <c r="D317" s="1062">
        <v>0.15</v>
      </c>
      <c r="E317" s="1062">
        <v>0.15</v>
      </c>
      <c r="F317" s="1063">
        <v>0.15</v>
      </c>
    </row>
    <row r="318" spans="1:6" ht="14.25" thickBot="1">
      <c r="A318" s="837" t="s">
        <v>1005</v>
      </c>
      <c r="B318" s="831" t="s">
        <v>1007</v>
      </c>
      <c r="C318" s="1064">
        <v>0.107</v>
      </c>
      <c r="D318" s="1064">
        <v>0.11</v>
      </c>
      <c r="E318" s="1064">
        <v>0.112</v>
      </c>
      <c r="F318" s="1076"/>
    </row>
    <row r="319" spans="1:6" ht="14.25" thickBot="1">
      <c r="A319" s="837" t="s">
        <v>1005</v>
      </c>
      <c r="B319" s="831" t="s">
        <v>1008</v>
      </c>
      <c r="C319" s="1064">
        <v>0.15</v>
      </c>
      <c r="D319" s="1064">
        <v>0.15</v>
      </c>
      <c r="E319" s="1064">
        <v>0.15</v>
      </c>
      <c r="F319" s="1065">
        <v>0.15</v>
      </c>
    </row>
    <row r="320" spans="1:6" ht="14.25" thickBot="1">
      <c r="A320" s="837" t="s">
        <v>1005</v>
      </c>
      <c r="B320" s="831" t="s">
        <v>223</v>
      </c>
      <c r="C320" s="1064">
        <v>0.15</v>
      </c>
      <c r="D320" s="1064">
        <v>0.15</v>
      </c>
      <c r="E320" s="1064">
        <v>0.15</v>
      </c>
      <c r="F320" s="1076"/>
    </row>
    <row r="321" spans="1:6" ht="14.25" thickBot="1">
      <c r="A321" s="837" t="s">
        <v>1005</v>
      </c>
      <c r="B321" s="831" t="s">
        <v>1009</v>
      </c>
      <c r="C321" s="1064">
        <v>0.15</v>
      </c>
      <c r="D321" s="1064">
        <v>0.15</v>
      </c>
      <c r="E321" s="1064">
        <v>0.15</v>
      </c>
      <c r="F321" s="1076"/>
    </row>
    <row r="322" spans="1:6" ht="14.25" thickBot="1">
      <c r="A322" s="837" t="s">
        <v>1005</v>
      </c>
      <c r="B322" s="831" t="s">
        <v>1010</v>
      </c>
      <c r="C322" s="1064">
        <v>0.15</v>
      </c>
      <c r="D322" s="1064">
        <v>0.15</v>
      </c>
      <c r="E322" s="1064">
        <v>0.15</v>
      </c>
      <c r="F322" s="1065">
        <v>0.15</v>
      </c>
    </row>
    <row r="323" spans="1:6" ht="14.25" thickBot="1">
      <c r="A323" s="837" t="s">
        <v>1005</v>
      </c>
      <c r="B323" s="831" t="s">
        <v>1011</v>
      </c>
      <c r="C323" s="1064">
        <v>0.15</v>
      </c>
      <c r="D323" s="1064">
        <v>0.15</v>
      </c>
      <c r="E323" s="1064">
        <v>0.15</v>
      </c>
      <c r="F323" s="1076"/>
    </row>
    <row r="324" spans="1:6" ht="14.25" thickBot="1">
      <c r="A324" s="837" t="s">
        <v>1005</v>
      </c>
      <c r="B324" s="831" t="s">
        <v>1012</v>
      </c>
      <c r="C324" s="1064">
        <v>0.15</v>
      </c>
      <c r="D324" s="1064">
        <v>0.15</v>
      </c>
      <c r="E324" s="1064">
        <v>0.15</v>
      </c>
      <c r="F324" s="1076"/>
    </row>
    <row r="325" spans="1:6" ht="14.25" thickBot="1">
      <c r="A325" s="837" t="s">
        <v>1005</v>
      </c>
      <c r="B325" s="831" t="s">
        <v>1013</v>
      </c>
      <c r="C325" s="1064">
        <v>0.15</v>
      </c>
      <c r="D325" s="1064">
        <v>0.15</v>
      </c>
      <c r="E325" s="1064">
        <v>0.15</v>
      </c>
      <c r="F325" s="1065">
        <v>0.14699999999999999</v>
      </c>
    </row>
    <row r="326" spans="1:6" ht="14.25" thickBot="1">
      <c r="A326" s="837" t="s">
        <v>1005</v>
      </c>
      <c r="B326" s="831" t="s">
        <v>290</v>
      </c>
      <c r="C326" s="1064">
        <v>0.15</v>
      </c>
      <c r="D326" s="1064">
        <v>0.15</v>
      </c>
      <c r="E326" s="1064">
        <v>0.15</v>
      </c>
      <c r="F326" s="1076"/>
    </row>
    <row r="327" spans="1:6" ht="14.25" thickBot="1">
      <c r="A327" s="837" t="s">
        <v>1005</v>
      </c>
      <c r="B327" s="831" t="s">
        <v>1014</v>
      </c>
      <c r="C327" s="1064">
        <v>0.15</v>
      </c>
      <c r="D327" s="1064">
        <v>0.15</v>
      </c>
      <c r="E327" s="1064">
        <v>0.15</v>
      </c>
      <c r="F327" s="1065">
        <v>0.15</v>
      </c>
    </row>
    <row r="328" spans="1:6" ht="14.25" thickBot="1">
      <c r="A328" s="837" t="s">
        <v>1005</v>
      </c>
      <c r="B328" s="831" t="s">
        <v>310</v>
      </c>
      <c r="C328" s="1064">
        <v>0.15</v>
      </c>
      <c r="D328" s="1064">
        <v>0.15</v>
      </c>
      <c r="E328" s="1064">
        <v>0.15</v>
      </c>
      <c r="F328" s="1065">
        <v>0.14099999999999999</v>
      </c>
    </row>
    <row r="329" spans="1:6" ht="14.25" thickBot="1">
      <c r="A329" s="837" t="s">
        <v>1005</v>
      </c>
      <c r="B329" s="831" t="s">
        <v>320</v>
      </c>
      <c r="C329" s="1064">
        <v>0.15</v>
      </c>
      <c r="D329" s="1064">
        <v>0.15</v>
      </c>
      <c r="E329" s="1064">
        <v>0.15</v>
      </c>
      <c r="F329" s="1065">
        <v>0.15</v>
      </c>
    </row>
    <row r="330" spans="1:6" ht="14.25" thickBot="1">
      <c r="A330" s="837" t="s">
        <v>1005</v>
      </c>
      <c r="B330" s="831" t="s">
        <v>331</v>
      </c>
      <c r="C330" s="1064">
        <v>0.15</v>
      </c>
      <c r="D330" s="1064">
        <v>0.15</v>
      </c>
      <c r="E330" s="1064">
        <v>0.15</v>
      </c>
      <c r="F330" s="1076"/>
    </row>
    <row r="331" spans="1:6" ht="14.25" thickBot="1">
      <c r="A331" s="837" t="s">
        <v>1005</v>
      </c>
      <c r="B331" s="831" t="s">
        <v>1015</v>
      </c>
      <c r="C331" s="1064">
        <v>0.15</v>
      </c>
      <c r="D331" s="1064">
        <v>0.15</v>
      </c>
      <c r="E331" s="1064">
        <v>0.15</v>
      </c>
      <c r="F331" s="1065">
        <v>0.15</v>
      </c>
    </row>
    <row r="332" spans="1:6" ht="14.25" thickBot="1">
      <c r="A332" s="837" t="s">
        <v>1005</v>
      </c>
      <c r="B332" s="831" t="s">
        <v>352</v>
      </c>
      <c r="C332" s="1064">
        <v>0.15</v>
      </c>
      <c r="D332" s="1064">
        <v>0.15</v>
      </c>
      <c r="E332" s="1064">
        <v>0.15</v>
      </c>
      <c r="F332" s="1065">
        <v>0.15</v>
      </c>
    </row>
    <row r="333" spans="1:6" ht="14.25" thickBot="1">
      <c r="A333" s="837" t="s">
        <v>1005</v>
      </c>
      <c r="B333" s="831" t="s">
        <v>1016</v>
      </c>
      <c r="C333" s="1064">
        <v>0.15</v>
      </c>
      <c r="D333" s="1064">
        <v>0.15</v>
      </c>
      <c r="E333" s="1064">
        <v>0.15</v>
      </c>
      <c r="F333" s="1065">
        <v>0.14099999999999999</v>
      </c>
    </row>
    <row r="334" spans="1:6" ht="14.25" thickBot="1">
      <c r="A334" s="837" t="s">
        <v>1005</v>
      </c>
      <c r="B334" s="831" t="s">
        <v>372</v>
      </c>
      <c r="C334" s="1064">
        <v>0.15</v>
      </c>
      <c r="D334" s="1064">
        <v>0.15</v>
      </c>
      <c r="E334" s="1064">
        <v>0.15</v>
      </c>
      <c r="F334" s="1065">
        <v>0.15</v>
      </c>
    </row>
    <row r="335" spans="1:6" ht="14.25" thickBot="1">
      <c r="A335" s="837" t="s">
        <v>1005</v>
      </c>
      <c r="B335" s="831" t="s">
        <v>382</v>
      </c>
      <c r="C335" s="1064">
        <v>0.15</v>
      </c>
      <c r="D335" s="1064">
        <v>0.15</v>
      </c>
      <c r="E335" s="1064">
        <v>0.15</v>
      </c>
      <c r="F335" s="1076"/>
    </row>
    <row r="336" spans="1:6" ht="14.25" thickBot="1">
      <c r="A336" s="837" t="s">
        <v>1005</v>
      </c>
      <c r="B336" s="831" t="s">
        <v>1017</v>
      </c>
      <c r="C336" s="1064">
        <v>0.15</v>
      </c>
      <c r="D336" s="1064">
        <v>0.15</v>
      </c>
      <c r="E336" s="1064">
        <v>0.15</v>
      </c>
      <c r="F336" s="1065">
        <v>0.11799999999999999</v>
      </c>
    </row>
    <row r="337" spans="1:6" ht="14.25" thickBot="1">
      <c r="A337" s="847" t="s">
        <v>1005</v>
      </c>
      <c r="B337" s="843" t="s">
        <v>400</v>
      </c>
      <c r="C337" s="1074"/>
      <c r="D337" s="1074"/>
      <c r="E337" s="1074"/>
      <c r="F337" s="1067">
        <v>0.14299999999999999</v>
      </c>
    </row>
    <row r="338" spans="1:6" ht="14.25" thickBot="1">
      <c r="A338" s="837" t="s">
        <v>1018</v>
      </c>
      <c r="B338" s="838" t="s">
        <v>1019</v>
      </c>
      <c r="C338" s="1062">
        <v>0.15</v>
      </c>
      <c r="D338" s="1062">
        <v>0.15</v>
      </c>
      <c r="E338" s="1062">
        <v>0.15</v>
      </c>
      <c r="F338" s="1079"/>
    </row>
    <row r="339" spans="1:6" ht="14.25" thickBot="1">
      <c r="A339" s="837" t="s">
        <v>1018</v>
      </c>
      <c r="B339" s="831" t="s">
        <v>1020</v>
      </c>
      <c r="C339" s="1064">
        <v>0.15</v>
      </c>
      <c r="D339" s="1064">
        <v>0.15</v>
      </c>
      <c r="E339" s="1064">
        <v>0.15</v>
      </c>
      <c r="F339" s="1076"/>
    </row>
    <row r="340" spans="1:6" ht="14.25" thickBot="1">
      <c r="A340" s="837" t="s">
        <v>1018</v>
      </c>
      <c r="B340" s="831" t="s">
        <v>1021</v>
      </c>
      <c r="C340" s="1064">
        <v>0.15</v>
      </c>
      <c r="D340" s="1064">
        <v>0.15</v>
      </c>
      <c r="E340" s="1064">
        <v>0.15</v>
      </c>
      <c r="F340" s="1076"/>
    </row>
    <row r="341" spans="1:6" ht="14.25" thickBot="1">
      <c r="A341" s="837" t="s">
        <v>1018</v>
      </c>
      <c r="B341" s="831" t="s">
        <v>1022</v>
      </c>
      <c r="C341" s="1064">
        <v>0.15</v>
      </c>
      <c r="D341" s="1064">
        <v>0.15</v>
      </c>
      <c r="E341" s="1064">
        <v>0.15</v>
      </c>
      <c r="F341" s="1065">
        <v>0.15</v>
      </c>
    </row>
    <row r="342" spans="1:6" ht="14.25" thickBot="1">
      <c r="A342" s="837" t="s">
        <v>1018</v>
      </c>
      <c r="B342" s="831" t="s">
        <v>1023</v>
      </c>
      <c r="C342" s="1064">
        <v>0.15</v>
      </c>
      <c r="D342" s="1064">
        <v>0.15</v>
      </c>
      <c r="E342" s="1064">
        <v>0.15</v>
      </c>
      <c r="F342" s="1065">
        <v>0.15</v>
      </c>
    </row>
    <row r="343" spans="1:6" ht="14.25" thickBot="1">
      <c r="A343" s="837" t="s">
        <v>1018</v>
      </c>
      <c r="B343" s="831" t="s">
        <v>1024</v>
      </c>
      <c r="C343" s="1064">
        <v>0.15</v>
      </c>
      <c r="D343" s="1064">
        <v>0.15</v>
      </c>
      <c r="E343" s="1064">
        <v>0.15</v>
      </c>
      <c r="F343" s="1065">
        <v>0.15</v>
      </c>
    </row>
    <row r="344" spans="1:6" ht="14.25" thickBot="1">
      <c r="A344" s="847" t="s">
        <v>1018</v>
      </c>
      <c r="B344" s="843"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43544</v>
      </c>
      <c r="D1" s="1700" t="s">
        <v>1297</v>
      </c>
      <c r="E1" s="1695">
        <f>'数据-取费表'!B22</f>
        <v>1.5</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6"/>
  <sheetViews>
    <sheetView workbookViewId="0">
      <selection activeCell="L36" sqref="L36"/>
    </sheetView>
  </sheetViews>
  <sheetFormatPr defaultRowHeight="13.5"/>
  <sheetData>
    <row r="1" spans="1:1" s="3060" customFormat="1" ht="27" customHeight="1">
      <c r="A1" s="3059" t="s">
        <v>3504</v>
      </c>
    </row>
    <row r="2" spans="1:1" ht="27" customHeight="1">
      <c r="A2" s="3012" t="s">
        <v>3505</v>
      </c>
    </row>
    <row r="3" spans="1:1" s="3060" customFormat="1" ht="27" customHeight="1">
      <c r="A3" s="3059" t="s">
        <v>3507</v>
      </c>
    </row>
    <row r="4" spans="1:1" ht="27" customHeight="1">
      <c r="A4" s="3012" t="s">
        <v>3506</v>
      </c>
    </row>
    <row r="5" spans="1:1" s="3060" customFormat="1" ht="27" customHeight="1">
      <c r="A5" s="3059" t="s">
        <v>7038</v>
      </c>
    </row>
    <row r="6" spans="1:1" ht="27" customHeight="1">
      <c r="A6" s="3012" t="s">
        <v>7039</v>
      </c>
    </row>
  </sheetData>
  <phoneticPr fontId="143" type="noConversion"/>
  <hyperlinks>
    <hyperlink ref="A2" r:id="rId1"/>
    <hyperlink ref="A4" r:id="rId2"/>
    <hyperlink ref="A6" r:id="rId3"/>
  </hyperlinks>
  <pageMargins left="0.7" right="0.7" top="0.75" bottom="0.75" header="0.3" footer="0.3"/>
  <pageSetup paperSize="9" orientation="portrait"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3160" t="s">
        <v>1658</v>
      </c>
      <c r="B1" s="3160"/>
      <c r="C1" s="3160"/>
      <c r="D1" s="3160"/>
    </row>
    <row r="2" spans="1:4" ht="18">
      <c r="A2" s="3161" t="s">
        <v>1642</v>
      </c>
      <c r="B2" s="3161"/>
      <c r="C2" s="3161"/>
      <c r="D2" s="3161"/>
    </row>
    <row r="3" spans="1:4" ht="18.75">
      <c r="A3" s="1977" t="s">
        <v>1643</v>
      </c>
      <c r="B3" s="1977" t="s">
        <v>1644</v>
      </c>
      <c r="C3" s="1977" t="s">
        <v>1645</v>
      </c>
      <c r="D3" s="1977" t="s">
        <v>1646</v>
      </c>
    </row>
    <row r="4" spans="1:4" ht="56.25" customHeight="1">
      <c r="A4" s="1978" t="str">
        <f>项目基本情况!B4</f>
        <v>郑燚</v>
      </c>
      <c r="B4" s="1979">
        <f ca="1">项目基本情况!C4</f>
        <v>1120070131</v>
      </c>
      <c r="C4" s="1980"/>
      <c r="D4" s="1981" t="s">
        <v>1647</v>
      </c>
    </row>
    <row r="5" spans="1:4" ht="56.25" customHeight="1">
      <c r="A5" s="1978" t="str">
        <f>项目基本情况!D4</f>
        <v>王鹏</v>
      </c>
      <c r="B5" s="1979">
        <f ca="1">项目基本情况!E4</f>
        <v>1120050019</v>
      </c>
      <c r="C5" s="1982"/>
      <c r="D5" s="1981" t="s">
        <v>1647</v>
      </c>
    </row>
    <row r="6" spans="1:4" ht="18">
      <c r="A6" s="3161" t="s">
        <v>1648</v>
      </c>
      <c r="B6" s="3161"/>
      <c r="C6" s="3161"/>
      <c r="D6" s="3161"/>
    </row>
    <row r="7" spans="1:4" ht="18.75">
      <c r="A7" s="1977" t="s">
        <v>1643</v>
      </c>
      <c r="B7" s="1979" t="s">
        <v>1649</v>
      </c>
      <c r="C7" s="1977" t="s">
        <v>1645</v>
      </c>
      <c r="D7" s="1977" t="s">
        <v>1646</v>
      </c>
    </row>
    <row r="8" spans="1:4" ht="56.25" customHeight="1">
      <c r="A8" s="1983" t="s">
        <v>866</v>
      </c>
      <c r="B8" s="1983" t="s">
        <v>1</v>
      </c>
      <c r="C8" s="1980"/>
      <c r="D8" s="1981" t="s">
        <v>1647</v>
      </c>
    </row>
    <row r="9" spans="1:4">
      <c r="A9" s="728"/>
      <c r="B9" s="728"/>
      <c r="C9" s="728"/>
      <c r="D9" s="728"/>
    </row>
    <row r="10" spans="1:4" ht="18.75">
      <c r="A10" s="1984" t="s">
        <v>1650</v>
      </c>
      <c r="B10" s="728"/>
      <c r="C10" s="728"/>
      <c r="D10" s="728"/>
    </row>
    <row r="11" spans="1:4" ht="30" customHeight="1">
      <c r="A11" s="3162" t="s">
        <v>1651</v>
      </c>
      <c r="B11" s="3163"/>
      <c r="C11" s="3163"/>
      <c r="D11" s="3163"/>
    </row>
    <row r="12" spans="1:4" ht="15.75">
      <c r="A12" s="31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64"/>
      <c r="C12" s="3164"/>
      <c r="D12" s="3164"/>
    </row>
    <row r="13" spans="1:4" ht="30" customHeight="1">
      <c r="A13" s="316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64"/>
      <c r="C13" s="3164"/>
      <c r="D13" s="3164"/>
    </row>
    <row r="14" spans="1:4" ht="15.75" customHeight="1">
      <c r="A14" s="3163" t="str">
        <f>IF(项目基本情况!B8="抵押","4.本次评估估价师所知悉的法定优先受偿款情况说明如下：","——")</f>
        <v>4.本次评估估价师所知悉的法定优先受偿款情况说明如下：</v>
      </c>
      <c r="B14" s="3164"/>
      <c r="C14" s="3164"/>
      <c r="D14" s="3164"/>
    </row>
    <row r="15" spans="1:4" ht="42" customHeight="1">
      <c r="A15" s="3163" t="str">
        <f>IF(项目基本情况!B8="抵押","（1）"&amp;CONCATENATE(项目基本情况!L20,项目基本情况!L21,项目基本情况!L22),"——")</f>
        <v>（1）根据估价对象《房屋所有权证》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63"/>
      <c r="C15" s="3163"/>
      <c r="D15" s="3163"/>
    </row>
    <row r="16" spans="1:4" ht="30" customHeight="1">
      <c r="A16" s="3166" t="s">
        <v>1652</v>
      </c>
      <c r="B16" s="3166"/>
      <c r="C16" s="3166"/>
      <c r="D16" s="3166"/>
    </row>
    <row r="17" spans="1:4" ht="144" customHeight="1">
      <c r="A17" s="3166" t="s">
        <v>1653</v>
      </c>
      <c r="B17" s="3166"/>
      <c r="C17" s="3166"/>
      <c r="D17" s="3166"/>
    </row>
    <row r="18" spans="1:4" ht="15.75" customHeight="1">
      <c r="A18" s="3163" t="str">
        <f>IF(项目基本情况!B8="抵押",结果表!K120,"——")</f>
        <v>故，本次评估不存在估价师知悉的法定优先受偿款</v>
      </c>
      <c r="B18" s="3163"/>
      <c r="C18" s="3163"/>
      <c r="D18" s="3163"/>
    </row>
    <row r="19" spans="1:4" ht="46.5" customHeight="1">
      <c r="A19" s="31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63"/>
      <c r="C19" s="3163"/>
      <c r="D19" s="3163"/>
    </row>
    <row r="20" spans="1:4" ht="57.75" customHeight="1">
      <c r="A20" s="31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63"/>
      <c r="C20" s="3163"/>
      <c r="D20" s="3163"/>
    </row>
    <row r="21" spans="1:4" ht="57.75" customHeight="1">
      <c r="A21" s="31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67"/>
      <c r="C21" s="3167"/>
      <c r="D21" s="3167"/>
    </row>
    <row r="22" spans="1:4" ht="18.75" customHeight="1">
      <c r="A22" s="3168" t="s">
        <v>1654</v>
      </c>
      <c r="B22" s="3168"/>
      <c r="C22" s="3168"/>
      <c r="D22" s="3168"/>
    </row>
    <row r="23" spans="1:4">
      <c r="A23" s="1985"/>
      <c r="B23" s="1957"/>
      <c r="C23" s="1957"/>
      <c r="D23" s="1957"/>
    </row>
    <row r="24" spans="1:4">
      <c r="A24" s="1985"/>
      <c r="B24" s="1957"/>
      <c r="C24" s="1957"/>
      <c r="D24" s="1957"/>
    </row>
    <row r="25" spans="1:4" ht="18.75">
      <c r="A25" s="1986" t="s">
        <v>1655</v>
      </c>
    </row>
    <row r="26" spans="1:4" ht="18">
      <c r="A26" s="1955"/>
    </row>
    <row r="27" spans="1:4" ht="18.75">
      <c r="A27" s="1955" t="s">
        <v>1656</v>
      </c>
    </row>
    <row r="30" spans="1:4" ht="18.75">
      <c r="D30" s="1986" t="s">
        <v>1657</v>
      </c>
    </row>
    <row r="31" spans="1:4" ht="13.5" customHeight="1">
      <c r="C31" s="3165">
        <v>42551</v>
      </c>
      <c r="D31" s="316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3" customWidth="1"/>
    <col min="2" max="16384" width="14.5" style="1975"/>
  </cols>
  <sheetData>
    <row r="1" spans="1:7" s="1990" customFormat="1" ht="18.75">
      <c r="A1" s="1989" t="s">
        <v>1659</v>
      </c>
    </row>
    <row r="3" spans="1:7">
      <c r="A3" s="1991" t="s">
        <v>82</v>
      </c>
      <c r="B3" s="1975" t="s">
        <v>1660</v>
      </c>
      <c r="G3" s="1992"/>
    </row>
    <row r="4" spans="1:7">
      <c r="G4" s="1992"/>
    </row>
    <row r="5" spans="1:7">
      <c r="A5" s="1994" t="s">
        <v>73</v>
      </c>
      <c r="B5" s="1975" t="s">
        <v>1661</v>
      </c>
      <c r="G5" s="1992"/>
    </row>
    <row r="6" spans="1:7">
      <c r="G6" s="1992"/>
    </row>
    <row r="7" spans="1:7">
      <c r="A7" s="1995" t="s">
        <v>135</v>
      </c>
      <c r="B7" s="1975" t="s">
        <v>1662</v>
      </c>
      <c r="G7" s="1992"/>
    </row>
    <row r="8" spans="1:7">
      <c r="G8" s="1992"/>
    </row>
    <row r="9" spans="1:7">
      <c r="A9" s="1996" t="s">
        <v>74</v>
      </c>
      <c r="B9" s="1975" t="s">
        <v>1663</v>
      </c>
    </row>
    <row r="11" spans="1:7">
      <c r="A11" s="1997" t="s">
        <v>75</v>
      </c>
      <c r="B11" s="1998" t="s">
        <v>72</v>
      </c>
    </row>
    <row r="13" spans="1:7">
      <c r="A13" s="1999" t="s">
        <v>1664</v>
      </c>
    </row>
    <row r="15" spans="1:7" ht="13.5">
      <c r="A15" s="3174" t="s">
        <v>1665</v>
      </c>
      <c r="B15" s="3169" t="s">
        <v>136</v>
      </c>
      <c r="C15" s="3170"/>
    </row>
    <row r="16" spans="1:7" ht="13.5">
      <c r="A16" s="3175"/>
      <c r="B16" s="3169" t="s">
        <v>69</v>
      </c>
      <c r="C16" s="3170"/>
    </row>
    <row r="17" spans="1:3" ht="13.5">
      <c r="A17" s="3175"/>
      <c r="B17" s="3172" t="s">
        <v>1666</v>
      </c>
      <c r="C17" s="2000" t="s">
        <v>1665</v>
      </c>
    </row>
    <row r="18" spans="1:3" ht="13.5">
      <c r="A18" s="3175"/>
      <c r="B18" s="3172"/>
      <c r="C18" s="2000" t="s">
        <v>1667</v>
      </c>
    </row>
    <row r="19" spans="1:3" ht="13.5">
      <c r="A19" s="3175"/>
      <c r="B19" s="3172"/>
      <c r="C19" s="2000" t="s">
        <v>1668</v>
      </c>
    </row>
    <row r="20" spans="1:3" ht="13.5">
      <c r="A20" s="3176"/>
      <c r="B20" s="3171" t="s">
        <v>1669</v>
      </c>
      <c r="C20" s="3170"/>
    </row>
    <row r="21" spans="1:3" ht="13.5">
      <c r="A21" s="2001" t="s">
        <v>1670</v>
      </c>
      <c r="B21" s="2002"/>
      <c r="C21" s="2003"/>
    </row>
    <row r="22" spans="1:3" ht="13.5">
      <c r="A22" s="3173" t="s">
        <v>1671</v>
      </c>
      <c r="B22" s="3171" t="s">
        <v>1672</v>
      </c>
      <c r="C22" s="3170"/>
    </row>
    <row r="23" spans="1:3" ht="13.5">
      <c r="A23" s="3173"/>
      <c r="B23" s="3171" t="s">
        <v>1673</v>
      </c>
      <c r="C23" s="3170"/>
    </row>
    <row r="24" spans="1:3" ht="13.5">
      <c r="A24" s="3173"/>
      <c r="B24" s="3171" t="s">
        <v>1674</v>
      </c>
      <c r="C24" s="3170"/>
    </row>
    <row r="25" spans="1:3" ht="13.5">
      <c r="A25" s="3173"/>
      <c r="B25" s="3172" t="s">
        <v>1675</v>
      </c>
      <c r="C25" s="2000" t="s">
        <v>1676</v>
      </c>
    </row>
    <row r="26" spans="1:3" ht="13.5">
      <c r="A26" s="3173"/>
      <c r="B26" s="3172"/>
      <c r="C26" s="2000" t="s">
        <v>1677</v>
      </c>
    </row>
    <row r="27" spans="1:3" ht="13.5">
      <c r="A27" s="3173"/>
      <c r="B27" s="3172"/>
      <c r="C27" s="2000" t="s">
        <v>1678</v>
      </c>
    </row>
    <row r="28" spans="1:3" ht="13.5">
      <c r="A28" s="3173"/>
      <c r="B28" s="3172"/>
      <c r="C28" s="2000" t="s">
        <v>1679</v>
      </c>
    </row>
    <row r="29" spans="1:3" ht="13.5">
      <c r="A29" s="3173"/>
      <c r="B29" s="3172"/>
      <c r="C29" s="2000" t="s">
        <v>1680</v>
      </c>
    </row>
    <row r="30" spans="1:3" ht="13.5">
      <c r="A30" s="3173"/>
      <c r="B30" s="3172"/>
      <c r="C30" s="2000" t="s">
        <v>1681</v>
      </c>
    </row>
    <row r="31" spans="1:3" ht="13.5">
      <c r="A31" s="3173"/>
      <c r="B31" s="3172"/>
      <c r="C31" s="2000" t="s">
        <v>1682</v>
      </c>
    </row>
    <row r="32" spans="1:3" ht="13.5">
      <c r="A32" s="3173"/>
      <c r="B32" s="3172"/>
      <c r="C32" s="2000" t="s">
        <v>1683</v>
      </c>
    </row>
    <row r="33" spans="1:3" ht="13.5">
      <c r="A33" s="3173"/>
      <c r="B33" s="3172"/>
      <c r="C33" s="2000" t="s">
        <v>1684</v>
      </c>
    </row>
    <row r="34" spans="1:3">
      <c r="A34" s="2004" t="s">
        <v>76</v>
      </c>
    </row>
    <row r="37" spans="1:3">
      <c r="A37" s="2004" t="s">
        <v>1685</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SheetLayoutView="70" workbookViewId="0">
      <selection activeCell="B19" sqref="B1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43550</v>
      </c>
      <c r="C2" s="1019" t="s">
        <v>826</v>
      </c>
      <c r="D2" s="1019"/>
    </row>
    <row r="3" spans="1:6" ht="24" customHeight="1">
      <c r="A3" s="1020" t="s">
        <v>827</v>
      </c>
      <c r="B3" s="1021" t="s">
        <v>828</v>
      </c>
      <c r="C3" s="2343" t="s">
        <v>829</v>
      </c>
      <c r="D3" s="2346" t="s">
        <v>830</v>
      </c>
      <c r="E3" s="1022" t="s">
        <v>831</v>
      </c>
      <c r="F3" s="1021" t="s">
        <v>829</v>
      </c>
    </row>
    <row r="4" spans="1:6" ht="24" customHeight="1">
      <c r="A4" s="1702" t="s">
        <v>832</v>
      </c>
      <c r="B4" s="1022">
        <f ca="1">IF(C4&lt;B2,"已过期",1119970066)</f>
        <v>1119970066</v>
      </c>
      <c r="C4" s="2344">
        <v>43849</v>
      </c>
      <c r="D4" s="2347" t="s">
        <v>832</v>
      </c>
      <c r="E4" s="1022">
        <f ca="1">IF(F4&lt;B2,"已过期",96010014)</f>
        <v>96010014</v>
      </c>
      <c r="F4" s="1030">
        <v>47118</v>
      </c>
    </row>
    <row r="5" spans="1:6" ht="24" customHeight="1">
      <c r="A5" s="1702" t="s">
        <v>833</v>
      </c>
      <c r="B5" s="1022">
        <f ca="1">IF(C5&lt;B2,"已过期",1119970074)</f>
        <v>1119970074</v>
      </c>
      <c r="C5" s="2344">
        <v>43849</v>
      </c>
      <c r="D5" s="2347" t="s">
        <v>833</v>
      </c>
      <c r="E5" s="1022">
        <f ca="1">IF(F5&lt;B2,"已过期",2002110027)</f>
        <v>2002110027</v>
      </c>
      <c r="F5" s="1030">
        <v>46752</v>
      </c>
    </row>
    <row r="6" spans="1:6" ht="24" customHeight="1">
      <c r="A6" s="1702" t="s">
        <v>834</v>
      </c>
      <c r="B6" s="1022">
        <f ca="1">IF(C6&lt;B2,"已过期",1119970111)</f>
        <v>1119970111</v>
      </c>
      <c r="C6" s="2344">
        <v>43849</v>
      </c>
      <c r="D6" s="2347" t="s">
        <v>834</v>
      </c>
      <c r="E6" s="1022">
        <f ca="1">IF(F6&lt;B2,"已过期",94010078)</f>
        <v>94010078</v>
      </c>
      <c r="F6" s="1030">
        <v>46387</v>
      </c>
    </row>
    <row r="7" spans="1:6" ht="24" customHeight="1">
      <c r="A7" s="1702" t="s">
        <v>835</v>
      </c>
      <c r="B7" s="1022">
        <f ca="1">IF(C7&lt;B2,"已过期",1120050019)</f>
        <v>1120050019</v>
      </c>
      <c r="C7" s="2344">
        <v>44395</v>
      </c>
      <c r="D7" s="2347" t="s">
        <v>835</v>
      </c>
      <c r="E7" s="1022">
        <f ca="1">IF(F7&lt;B2,"已过期",2002110030)</f>
        <v>2002110030</v>
      </c>
      <c r="F7" s="1030">
        <v>46387</v>
      </c>
    </row>
    <row r="8" spans="1:6" ht="24" customHeight="1">
      <c r="A8" s="1702" t="s">
        <v>836</v>
      </c>
      <c r="B8" s="1022">
        <f ca="1">IF(C8&lt;B2,"已过期",1120000080)</f>
        <v>1120000080</v>
      </c>
      <c r="C8" s="2344">
        <v>43849</v>
      </c>
      <c r="D8" s="2347" t="s">
        <v>836</v>
      </c>
      <c r="E8" s="1022">
        <f ca="1">IF(F8&lt;B2,"已过期",2000110082)</f>
        <v>2000110082</v>
      </c>
      <c r="F8" s="1030">
        <v>46387</v>
      </c>
    </row>
    <row r="9" spans="1:6" ht="24" customHeight="1">
      <c r="A9" s="1702" t="s">
        <v>837</v>
      </c>
      <c r="B9" s="1022">
        <f ca="1">IF(C9&lt;B2,"已过期",1419970001)</f>
        <v>1419970001</v>
      </c>
      <c r="C9" s="2344">
        <v>43867</v>
      </c>
      <c r="D9" s="2347" t="s">
        <v>837</v>
      </c>
      <c r="E9" s="1022">
        <f ca="1">IF(F9&lt;B2,"已过期",2002110125)</f>
        <v>2002110125</v>
      </c>
      <c r="F9" s="1030">
        <v>47118</v>
      </c>
    </row>
    <row r="10" spans="1:6" ht="24" customHeight="1">
      <c r="A10" s="1702" t="s">
        <v>838</v>
      </c>
      <c r="B10" s="1022" t="str">
        <f ca="1">IF(C10&lt;B2,"已过期",1120060040)</f>
        <v>已过期</v>
      </c>
      <c r="C10" s="2344">
        <v>43483</v>
      </c>
      <c r="D10" s="2347" t="s">
        <v>838</v>
      </c>
      <c r="E10" s="1022">
        <f ca="1">IF(F10&lt;B2,"已过期",2004110096)</f>
        <v>2004110096</v>
      </c>
      <c r="F10" s="1030">
        <v>47118</v>
      </c>
    </row>
    <row r="11" spans="1:6" ht="24" customHeight="1">
      <c r="A11" s="1702" t="s">
        <v>839</v>
      </c>
      <c r="B11" s="1022">
        <f ca="1">IF(C11&lt;B2,"已过期",1120100036)</f>
        <v>1120100036</v>
      </c>
      <c r="C11" s="2344">
        <v>43622</v>
      </c>
      <c r="D11" s="2347" t="s">
        <v>839</v>
      </c>
      <c r="E11" s="1022">
        <f ca="1">IF(F11&lt;B2,"已过期",2010110070)</f>
        <v>2010110070</v>
      </c>
      <c r="F11" s="1030">
        <v>47907</v>
      </c>
    </row>
    <row r="12" spans="1:6" ht="24" customHeight="1">
      <c r="A12" s="1702"/>
      <c r="B12" s="1022"/>
      <c r="C12" s="2935"/>
      <c r="D12" s="1702"/>
      <c r="E12" s="1022"/>
      <c r="F12" s="1030"/>
    </row>
    <row r="13" spans="1:6" ht="24" customHeight="1">
      <c r="A13" s="1702" t="s">
        <v>840</v>
      </c>
      <c r="B13" s="1022">
        <f ca="1">IF(C13&lt;B2,"已过期",1120070131)</f>
        <v>1120070131</v>
      </c>
      <c r="C13" s="2344">
        <v>43814</v>
      </c>
      <c r="D13" s="2347" t="s">
        <v>840</v>
      </c>
      <c r="E13" s="1022">
        <f ca="1">IF(F13&lt;B2,"已过期",2014110011)</f>
        <v>2014110011</v>
      </c>
      <c r="F13" s="1030">
        <v>49302</v>
      </c>
    </row>
    <row r="14" spans="1:6" ht="24" customHeight="1">
      <c r="A14" s="1702" t="s">
        <v>3040</v>
      </c>
      <c r="B14" s="1022">
        <f ca="1">IF(C14&lt;B2,"已过期",1120040230)</f>
        <v>1120040230</v>
      </c>
      <c r="C14" s="2344">
        <v>43835</v>
      </c>
      <c r="D14" s="2347" t="s">
        <v>3040</v>
      </c>
      <c r="E14" s="1022">
        <f ca="1">IF(F14&lt;B2,"已过期",98030020)</f>
        <v>98030020</v>
      </c>
      <c r="F14" s="1030">
        <v>47118</v>
      </c>
    </row>
    <row r="15" spans="1:6" ht="24" customHeight="1">
      <c r="A15" s="1703" t="s">
        <v>3041</v>
      </c>
      <c r="B15" s="1022">
        <f ca="1">IF(C15&lt;B2,"已过期",1120070085)</f>
        <v>1120070085</v>
      </c>
      <c r="C15" s="2344">
        <v>43814</v>
      </c>
      <c r="D15" s="2348" t="s">
        <v>3041</v>
      </c>
      <c r="E15" s="1022">
        <f ca="1">IF(F15&lt;B2,"已过期",2004110128)</f>
        <v>2004110128</v>
      </c>
      <c r="F15" s="1023">
        <v>47118</v>
      </c>
    </row>
    <row r="16" spans="1:6" ht="24" customHeight="1">
      <c r="A16" s="1702" t="s">
        <v>3042</v>
      </c>
      <c r="B16" s="1022">
        <f ca="1">IF(C16&lt;B2,"已过期",1120140022)</f>
        <v>1120140022</v>
      </c>
      <c r="C16" s="2935">
        <v>44029</v>
      </c>
      <c r="D16" s="2347" t="s">
        <v>3042</v>
      </c>
      <c r="E16" s="1022">
        <f ca="1">IF(F16&lt;B2,"已过期",2008110059)</f>
        <v>2008110059</v>
      </c>
      <c r="F16" s="1030">
        <v>47177</v>
      </c>
    </row>
    <row r="17" spans="1:7" ht="24" customHeight="1">
      <c r="A17" s="1702"/>
      <c r="B17" s="1022"/>
      <c r="C17" s="2344"/>
      <c r="D17" s="2347" t="s">
        <v>3043</v>
      </c>
      <c r="E17" s="1022">
        <f ca="1">IF(F17&lt;B2,"已过期",2014110076)</f>
        <v>2014110076</v>
      </c>
      <c r="F17" s="1030">
        <v>49302</v>
      </c>
    </row>
    <row r="18" spans="1:7" ht="24" customHeight="1">
      <c r="A18" s="1702"/>
      <c r="B18" s="1022"/>
      <c r="C18" s="2344"/>
      <c r="D18" s="2347"/>
      <c r="E18" s="1022"/>
      <c r="F18" s="1030"/>
    </row>
    <row r="19" spans="1:7" ht="24" customHeight="1">
      <c r="A19" s="1702"/>
      <c r="B19" s="1022"/>
      <c r="C19" s="2344"/>
      <c r="D19" s="2347"/>
      <c r="E19" s="1022"/>
      <c r="F19" s="1022"/>
    </row>
    <row r="20" spans="1:7" ht="24" customHeight="1">
      <c r="A20" s="1702"/>
      <c r="B20" s="1022"/>
      <c r="C20" s="2344"/>
      <c r="D20" s="2347"/>
      <c r="E20" s="1022"/>
      <c r="F20" s="1022"/>
    </row>
    <row r="21" spans="1:7" ht="24" customHeight="1">
      <c r="A21" s="1702"/>
      <c r="B21" s="1022"/>
      <c r="C21" s="2344"/>
      <c r="D21" s="2347" t="s">
        <v>841</v>
      </c>
      <c r="E21" s="1022">
        <f ca="1">IF(F21&lt;B2,"已过期",2011110090)</f>
        <v>2011110090</v>
      </c>
      <c r="F21" s="1030">
        <v>48302</v>
      </c>
    </row>
    <row r="22" spans="1:7" ht="24" customHeight="1">
      <c r="A22" s="1702" t="s">
        <v>842</v>
      </c>
      <c r="B22" s="1022">
        <f ca="1">IF(C22&lt;B2,"已过期",1120020033)</f>
        <v>1120020033</v>
      </c>
      <c r="C22" s="2935">
        <v>44339</v>
      </c>
      <c r="D22" s="2347" t="s">
        <v>842</v>
      </c>
      <c r="E22" s="1022">
        <f ca="1">IF(F22&lt;B2,"已过期",2000110137)</f>
        <v>2000110137</v>
      </c>
      <c r="F22" s="1030">
        <v>46387</v>
      </c>
    </row>
    <row r="23" spans="1:7" ht="24" customHeight="1">
      <c r="A23" s="1702"/>
      <c r="B23" s="1022"/>
      <c r="C23" s="2344"/>
      <c r="D23" s="2347"/>
      <c r="E23" s="1022"/>
      <c r="F23" s="1022"/>
    </row>
    <row r="24" spans="1:7" s="1024" customFormat="1" ht="24" customHeight="1">
      <c r="A24" s="1703" t="s">
        <v>1329</v>
      </c>
      <c r="B24" s="1703" t="s">
        <v>1329</v>
      </c>
      <c r="C24" s="2345" t="s">
        <v>1329</v>
      </c>
      <c r="D24" s="2348" t="s">
        <v>1329</v>
      </c>
      <c r="E24" s="1703" t="s">
        <v>1329</v>
      </c>
      <c r="F24" s="1703" t="s">
        <v>1329</v>
      </c>
    </row>
    <row r="25" spans="1:7" ht="24" customHeight="1">
      <c r="A25" s="3177" t="s">
        <v>843</v>
      </c>
      <c r="B25" s="3177"/>
      <c r="C25" s="3177"/>
      <c r="D25" s="3177"/>
      <c r="E25" s="3177"/>
      <c r="F25" s="3177"/>
      <c r="G25" s="3177"/>
    </row>
    <row r="26" spans="1:7" s="1025" customFormat="1" ht="24" customHeight="1">
      <c r="A26" s="3178" t="s">
        <v>844</v>
      </c>
      <c r="B26" s="3178"/>
      <c r="C26" s="3179"/>
      <c r="D26" s="3180" t="s">
        <v>845</v>
      </c>
      <c r="E26" s="3178"/>
      <c r="F26" s="3178"/>
    </row>
    <row r="27" spans="1:7" s="1027" customFormat="1" ht="24" customHeight="1">
      <c r="A27" s="1026" t="s">
        <v>846</v>
      </c>
      <c r="B27" s="1021" t="s">
        <v>847</v>
      </c>
      <c r="C27" s="2343" t="s">
        <v>848</v>
      </c>
      <c r="D27" s="2351" t="s">
        <v>846</v>
      </c>
      <c r="E27" s="1021" t="s">
        <v>847</v>
      </c>
      <c r="F27" s="1021" t="s">
        <v>848</v>
      </c>
    </row>
    <row r="28" spans="1:7" s="1027" customFormat="1" ht="24" customHeight="1">
      <c r="A28" s="1028" t="s">
        <v>849</v>
      </c>
      <c r="B28" s="1029" t="s">
        <v>850</v>
      </c>
      <c r="C28" s="2349">
        <v>43725</v>
      </c>
      <c r="D28" s="2352" t="s">
        <v>851</v>
      </c>
      <c r="E28" s="1028" t="s">
        <v>852</v>
      </c>
      <c r="F28" s="1058">
        <v>44377</v>
      </c>
    </row>
    <row r="29" spans="1:7" s="1027" customFormat="1" ht="24" customHeight="1">
      <c r="A29" s="1028"/>
      <c r="B29" s="1028"/>
      <c r="C29" s="2350"/>
      <c r="D29" s="2352"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249</vt:i4>
      </vt:variant>
    </vt:vector>
  </HeadingPairs>
  <TitlesOfParts>
    <vt:vector size="3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抵押物情况汇总</vt:lpstr>
      <vt:lpstr>数据-汇总表</vt:lpstr>
      <vt:lpstr>数据-取费表</vt:lpstr>
      <vt:lpstr>估价对象房地状况</vt:lpstr>
      <vt:lpstr>系统读取表</vt:lpstr>
      <vt:lpstr>租赁台账</vt:lpstr>
      <vt:lpstr>Sheet1</vt:lpstr>
      <vt:lpstr>结果表</vt:lpstr>
      <vt:lpstr>成本法</vt:lpstr>
      <vt:lpstr>成本法 (元)</vt:lpstr>
      <vt:lpstr>假设开发法</vt:lpstr>
      <vt:lpstr>土地比较法-工业</vt:lpstr>
      <vt:lpstr>年期修正系数</vt:lpstr>
      <vt:lpstr>土地案例</vt:lpstr>
      <vt:lpstr>选取案例</vt:lpstr>
      <vt:lpstr>收益法</vt:lpstr>
      <vt:lpstr>收益法（汇总）</vt:lpstr>
      <vt:lpstr>收益法（宿舍）</vt:lpstr>
      <vt:lpstr>收益法（住宅）</vt:lpstr>
      <vt:lpstr>租金</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Sheet5</vt:lpstr>
      <vt:lpstr>估价师及机构信息!Print_Area</vt:lpstr>
      <vt:lpstr>收益法!Print_Area</vt:lpstr>
      <vt:lpstr>'收益法 (元)'!Print_Area</vt:lpstr>
      <vt:lpstr>'收益法（宿舍）'!Print_Area</vt:lpstr>
      <vt:lpstr>'收益法（住宅）'!Print_Area</vt:lpstr>
      <vt:lpstr>'数据-汇总表'!Print_Area</vt:lpstr>
      <vt:lpstr>八级</vt:lpstr>
      <vt:lpstr>抵押物情况汇总!办公层高</vt:lpstr>
      <vt:lpstr>办公层高</vt:lpstr>
      <vt:lpstr>抵押物情况汇总!办公朝向</vt:lpstr>
      <vt:lpstr>办公朝向</vt:lpstr>
      <vt:lpstr>抵押物情况汇总!办公道路级别</vt:lpstr>
      <vt:lpstr>办公道路级别</vt:lpstr>
      <vt:lpstr>抵押物情况汇总!办公公共部分装修</vt:lpstr>
      <vt:lpstr>办公公共部分装修</vt:lpstr>
      <vt:lpstr>抵押物情况汇总!办公基础设施水平</vt:lpstr>
      <vt:lpstr>办公基础设施水平</vt:lpstr>
      <vt:lpstr>抵押物情况汇总!办公集聚程度</vt:lpstr>
      <vt:lpstr>办公集聚程度</vt:lpstr>
      <vt:lpstr>抵押物情况汇总!办公建筑结构</vt:lpstr>
      <vt:lpstr>办公建筑结构</vt:lpstr>
      <vt:lpstr>抵押物情况汇总!办公建筑类型</vt:lpstr>
      <vt:lpstr>办公建筑类型</vt:lpstr>
      <vt:lpstr>抵押物情况汇总!办公交易情况</vt:lpstr>
      <vt:lpstr>办公交易情况</vt:lpstr>
      <vt:lpstr>抵押物情况汇总!办公楼层</vt:lpstr>
      <vt:lpstr>办公楼层</vt:lpstr>
      <vt:lpstr>抵押物情况汇总!办公内部装修</vt:lpstr>
      <vt:lpstr>办公内部装修</vt:lpstr>
      <vt:lpstr>抵押物情况汇总!办公物业管理</vt:lpstr>
      <vt:lpstr>办公物业管理</vt:lpstr>
      <vt:lpstr>抵押物情况汇总!办公用途</vt:lpstr>
      <vt:lpstr>办公用途</vt:lpstr>
      <vt:lpstr>抵押物情况汇总!仓储公共部分装修</vt:lpstr>
      <vt:lpstr>仓储公共部分装修</vt:lpstr>
      <vt:lpstr>抵押物情况汇总!仓储交易情况</vt:lpstr>
      <vt:lpstr>仓储交易情况</vt:lpstr>
      <vt:lpstr>抵押物情况汇总!仓储楼层</vt:lpstr>
      <vt:lpstr>仓储楼层</vt:lpstr>
      <vt:lpstr>抵押物情况汇总!仓储物业等级</vt:lpstr>
      <vt:lpstr>仓储物业等级</vt:lpstr>
      <vt:lpstr>抵押物情况汇总!仓储用途</vt:lpstr>
      <vt:lpstr>仓储用途</vt:lpstr>
      <vt:lpstr>抵押物情况汇总!产业集聚程度</vt:lpstr>
      <vt:lpstr>产业集聚程度</vt:lpstr>
      <vt:lpstr>抵押物情况汇总!车位公共部分装修</vt:lpstr>
      <vt:lpstr>车位公共部分装修</vt:lpstr>
      <vt:lpstr>抵押物情况汇总!车位交易情况</vt:lpstr>
      <vt:lpstr>车位交易情况</vt:lpstr>
      <vt:lpstr>抵押物情况汇总!车位类型</vt:lpstr>
      <vt:lpstr>车位类型</vt:lpstr>
      <vt:lpstr>抵押物情况汇总!车位楼层</vt:lpstr>
      <vt:lpstr>车位楼层</vt:lpstr>
      <vt:lpstr>抵押物情况汇总!车位配套类型</vt:lpstr>
      <vt:lpstr>车位配套类型</vt:lpstr>
      <vt:lpstr>抵押物情况汇总!车位物业等级</vt:lpstr>
      <vt:lpstr>车位物业等级</vt:lpstr>
      <vt:lpstr>抵押物情况汇总!车位用途</vt:lpstr>
      <vt:lpstr>车位用途</vt:lpstr>
      <vt:lpstr>抵押物情况汇总!城镇土地纳税等级分级范围</vt:lpstr>
      <vt:lpstr>城镇土地纳税等级分级范围</vt:lpstr>
      <vt:lpstr>抵押物情况汇总!单价内涵</vt:lpstr>
      <vt:lpstr>单价内涵</vt:lpstr>
      <vt:lpstr>抵押物情况汇总!地类判定</vt:lpstr>
      <vt:lpstr>地类判定</vt:lpstr>
      <vt:lpstr>二级</vt:lpstr>
      <vt:lpstr>抵押物情况汇总!二级分类</vt:lpstr>
      <vt:lpstr>二级分类</vt:lpstr>
      <vt:lpstr>抵押物情况汇总!法定最高年限</vt:lpstr>
      <vt:lpstr>法定最高年限</vt:lpstr>
      <vt:lpstr>抵押物情况汇总!工业公共部分装修</vt:lpstr>
      <vt:lpstr>工业公共部分装修</vt:lpstr>
      <vt:lpstr>抵押物情况汇总!工业基础设施水平</vt:lpstr>
      <vt:lpstr>工业基础设施水平</vt:lpstr>
      <vt:lpstr>抵押物情况汇总!工业建筑结构</vt:lpstr>
      <vt:lpstr>工业建筑结构</vt:lpstr>
      <vt:lpstr>抵押物情况汇总!工业建筑类型</vt:lpstr>
      <vt:lpstr>工业建筑类型</vt:lpstr>
      <vt:lpstr>抵押物情况汇总!工业交易情况</vt:lpstr>
      <vt:lpstr>工业交易情况</vt:lpstr>
      <vt:lpstr>抵押物情况汇总!工业内部装修</vt:lpstr>
      <vt:lpstr>工业内部装修</vt:lpstr>
      <vt:lpstr>抵押物情况汇总!工业物业管理</vt:lpstr>
      <vt:lpstr>工业物业管理</vt:lpstr>
      <vt:lpstr>抵押物情况汇总!工业用途</vt:lpstr>
      <vt:lpstr>工业用途</vt:lpstr>
      <vt:lpstr>抵押物情况汇总!公共配套设施</vt:lpstr>
      <vt:lpstr>公共配套设施</vt:lpstr>
      <vt:lpstr>抵押物情况汇总!估价方法</vt:lpstr>
      <vt:lpstr>估价方法</vt:lpstr>
      <vt:lpstr>抵押物情况汇总!环境</vt:lpstr>
      <vt:lpstr>环境</vt:lpstr>
      <vt:lpstr>抵押物情况汇总!基础设施水平</vt:lpstr>
      <vt:lpstr>基础设施水平</vt:lpstr>
      <vt:lpstr>季度</vt:lpstr>
      <vt:lpstr>抵押物情况汇总!价值类型2</vt:lpstr>
      <vt:lpstr>价值类型2</vt:lpstr>
      <vt:lpstr>抵押物情况汇总!交通便捷度</vt:lpstr>
      <vt:lpstr>交通便捷度</vt:lpstr>
      <vt:lpstr>九级</vt:lpstr>
      <vt:lpstr>抵押物情况汇总!居住社区成熟度</vt:lpstr>
      <vt:lpstr>居住社区成熟度</vt:lpstr>
      <vt:lpstr>抵押物情况汇总!类别</vt:lpstr>
      <vt:lpstr>类别</vt:lpstr>
      <vt:lpstr>抵押物情况汇总!临街状况</vt:lpstr>
      <vt:lpstr>临街状况</vt:lpstr>
      <vt:lpstr>六级</vt:lpstr>
      <vt:lpstr>抵押物情况汇总!内部装修维护情况</vt:lpstr>
      <vt:lpstr>内部装修维护情况</vt:lpstr>
      <vt:lpstr>抵押物情况汇总!判定</vt:lpstr>
      <vt:lpstr>判定</vt:lpstr>
      <vt:lpstr>七级</vt:lpstr>
      <vt:lpstr>抵押物情况汇总!七通一平</vt:lpstr>
      <vt:lpstr>七通一平</vt:lpstr>
      <vt:lpstr>抵押物情况汇总!区域土地利用方向</vt:lpstr>
      <vt:lpstr>区域土地利用方向</vt:lpstr>
      <vt:lpstr>三级</vt:lpstr>
      <vt:lpstr>抵押物情况汇总!商业层高</vt:lpstr>
      <vt:lpstr>商业层高</vt:lpstr>
      <vt:lpstr>商业成新度</vt:lpstr>
      <vt:lpstr>抵押物情况汇总!商业繁华度</vt:lpstr>
      <vt:lpstr>商业繁华度</vt:lpstr>
      <vt:lpstr>抵押物情况汇总!商业公共部分装修</vt:lpstr>
      <vt:lpstr>商业公共部分装修</vt:lpstr>
      <vt:lpstr>抵押物情况汇总!商业基础设施水平</vt:lpstr>
      <vt:lpstr>商业基础设施水平</vt:lpstr>
      <vt:lpstr>抵押物情况汇总!商业建筑结构</vt:lpstr>
      <vt:lpstr>商业建筑结构</vt:lpstr>
      <vt:lpstr>抵押物情况汇总!商业交易情况</vt:lpstr>
      <vt:lpstr>商业交易情况</vt:lpstr>
      <vt:lpstr>抵押物情况汇总!商业街名称</vt:lpstr>
      <vt:lpstr>商业街名称</vt:lpstr>
      <vt:lpstr>抵押物情况汇总!商业进深比</vt:lpstr>
      <vt:lpstr>商业进深比</vt:lpstr>
      <vt:lpstr>抵押物情况汇总!商业类型</vt:lpstr>
      <vt:lpstr>商业类型</vt:lpstr>
      <vt:lpstr>抵押物情况汇总!商业临街状况</vt:lpstr>
      <vt:lpstr>商业临街状况</vt:lpstr>
      <vt:lpstr>抵押物情况汇总!商业楼层</vt:lpstr>
      <vt:lpstr>商业楼层</vt:lpstr>
      <vt:lpstr>抵押物情况汇总!商业内部装修</vt:lpstr>
      <vt:lpstr>商业内部装修</vt:lpstr>
      <vt:lpstr>抵押物情况汇总!商业人流量</vt:lpstr>
      <vt:lpstr>商业人流量</vt:lpstr>
      <vt:lpstr>抵押物情况汇总!商业业态</vt:lpstr>
      <vt:lpstr>商业业态</vt:lpstr>
      <vt:lpstr>抵押物情况汇总!商业用途</vt:lpstr>
      <vt:lpstr>商业用途</vt:lpstr>
      <vt:lpstr>十二级</vt:lpstr>
      <vt:lpstr>十级</vt:lpstr>
      <vt:lpstr>十一级</vt:lpstr>
      <vt:lpstr>抵押物情况汇总!是否封闭</vt:lpstr>
      <vt:lpstr>是否封闭</vt:lpstr>
      <vt:lpstr>抵押物情况汇总!是否直接入户</vt:lpstr>
      <vt:lpstr>是否直接入户</vt:lpstr>
      <vt:lpstr>四级</vt:lpstr>
      <vt:lpstr>抵押物情况汇总!套工道路等级</vt:lpstr>
      <vt:lpstr>套工道路等级</vt:lpstr>
      <vt:lpstr>抵押物情况汇总!套工地质条件</vt:lpstr>
      <vt:lpstr>套工地质条件</vt:lpstr>
      <vt:lpstr>抵押物情况汇总!套工交易情况</vt:lpstr>
      <vt:lpstr>套工交易情况</vt:lpstr>
      <vt:lpstr>抵押物情况汇总!套工土地级别</vt:lpstr>
      <vt:lpstr>套工土地级别</vt:lpstr>
      <vt:lpstr>抵押物情况汇总!套工用途</vt:lpstr>
      <vt:lpstr>套工用途</vt:lpstr>
      <vt:lpstr>抵押物情况汇总!套工宗地开发程度</vt:lpstr>
      <vt:lpstr>套工宗地开发程度</vt:lpstr>
      <vt:lpstr>抵押物情况汇总!套工宗地形状</vt:lpstr>
      <vt:lpstr>套工宗地形状</vt:lpstr>
      <vt:lpstr>抵押物情况汇总!套综道路等级</vt:lpstr>
      <vt:lpstr>套综道路等级</vt:lpstr>
      <vt:lpstr>抵押物情况汇总!套综工程地质条件</vt:lpstr>
      <vt:lpstr>套综工程地质条件</vt:lpstr>
      <vt:lpstr>抵押物情况汇总!套综交易情况</vt:lpstr>
      <vt:lpstr>套综交易情况</vt:lpstr>
      <vt:lpstr>抵押物情况汇总!套综临街宽度及深度</vt:lpstr>
      <vt:lpstr>套综临街宽度及深度</vt:lpstr>
      <vt:lpstr>抵押物情况汇总!套综土地级别</vt:lpstr>
      <vt:lpstr>套综土地级别</vt:lpstr>
      <vt:lpstr>抵押物情况汇总!套综用途</vt:lpstr>
      <vt:lpstr>套综用途</vt:lpstr>
      <vt:lpstr>抵押物情况汇总!套综宗地内开发程度</vt:lpstr>
      <vt:lpstr>套综宗地内开发程度</vt:lpstr>
      <vt:lpstr>抵押物情况汇总!套综宗地形状</vt:lpstr>
      <vt:lpstr>套综宗地形状</vt:lpstr>
      <vt:lpstr>土地估价师</vt:lpstr>
      <vt:lpstr>抵押物情况汇总!土地级别</vt:lpstr>
      <vt:lpstr>土地级别</vt:lpstr>
      <vt:lpstr>土地利用方向</vt:lpstr>
      <vt:lpstr>抵押物情况汇总!土地年限区间</vt:lpstr>
      <vt:lpstr>土地年限区间</vt:lpstr>
      <vt:lpstr>抵押物情况汇总!位置</vt:lpstr>
      <vt:lpstr>位置</vt:lpstr>
      <vt:lpstr>抵押物情况汇总!五等判定</vt:lpstr>
      <vt:lpstr>五等判定</vt:lpstr>
      <vt:lpstr>五级</vt:lpstr>
      <vt:lpstr>抵押物情况汇总!项目类型</vt:lpstr>
      <vt:lpstr>项目类型</vt:lpstr>
      <vt:lpstr>抵押物情况汇总!写字楼等级</vt:lpstr>
      <vt:lpstr>写字楼等级</vt:lpstr>
      <vt:lpstr>一级</vt:lpstr>
      <vt:lpstr>抵押物情况汇总!一修多修正项2</vt:lpstr>
      <vt:lpstr>一修多修正项2</vt:lpstr>
      <vt:lpstr>抵押物情况汇总!一修多修正项3</vt:lpstr>
      <vt:lpstr>一修多修正项3</vt:lpstr>
      <vt:lpstr>抵押物情况汇总!一修多修正项4</vt:lpstr>
      <vt:lpstr>一修多修正项4</vt:lpstr>
      <vt:lpstr>抵押物情况汇总!一修多修正项5</vt:lpstr>
      <vt:lpstr>一修多修正项5</vt:lpstr>
      <vt:lpstr>抵押物情况汇总!一修多修正项6</vt:lpstr>
      <vt:lpstr>一修多修正项6</vt:lpstr>
      <vt:lpstr>抵押物情况汇总!一修多修正项7</vt:lpstr>
      <vt:lpstr>一修多修正项7</vt:lpstr>
      <vt:lpstr>抵押物情况汇总!一修多修正项8</vt:lpstr>
      <vt:lpstr>一修多修正项8</vt:lpstr>
      <vt:lpstr>抵押物情况汇总!用途明细</vt:lpstr>
      <vt:lpstr>用途明细</vt:lpstr>
      <vt:lpstr>抵押物情况汇总!有无电梯</vt:lpstr>
      <vt:lpstr>有无电梯</vt:lpstr>
      <vt:lpstr>抵押物情况汇总!主用途</vt:lpstr>
      <vt:lpstr>主用途</vt:lpstr>
      <vt:lpstr>抵押物情况汇总!住宅朝向</vt:lpstr>
      <vt:lpstr>住宅朝向</vt:lpstr>
      <vt:lpstr>抵押物情况汇总!住宅房型</vt:lpstr>
      <vt:lpstr>住宅房型</vt:lpstr>
      <vt:lpstr>抵押物情况汇总!住宅公共部分装修</vt:lpstr>
      <vt:lpstr>住宅公共部分装修</vt:lpstr>
      <vt:lpstr>抵押物情况汇总!住宅基础设施水平</vt:lpstr>
      <vt:lpstr>住宅基础设施水平</vt:lpstr>
      <vt:lpstr>抵押物情况汇总!住宅建筑结构</vt:lpstr>
      <vt:lpstr>住宅建筑结构</vt:lpstr>
      <vt:lpstr>抵押物情况汇总!住宅建筑类型</vt:lpstr>
      <vt:lpstr>住宅建筑类型</vt:lpstr>
      <vt:lpstr>抵押物情况汇总!住宅建筑品质</vt:lpstr>
      <vt:lpstr>住宅建筑品质</vt:lpstr>
      <vt:lpstr>抵押物情况汇总!住宅交易情况</vt:lpstr>
      <vt:lpstr>住宅交易情况</vt:lpstr>
      <vt:lpstr>抵押物情况汇总!住宅楼层</vt:lpstr>
      <vt:lpstr>住宅楼层</vt:lpstr>
      <vt:lpstr>抵押物情况汇总!住宅内部装修</vt:lpstr>
      <vt:lpstr>住宅内部装修</vt:lpstr>
      <vt:lpstr>抵押物情况汇总!住宅物业管理</vt:lpstr>
      <vt:lpstr>住宅物业管理</vt:lpstr>
      <vt:lpstr>抵押物情况汇总!住宅用途</vt:lpstr>
      <vt:lpstr>住宅用途</vt:lpstr>
      <vt:lpstr>住宅主力户型面积</vt:lpstr>
      <vt:lpstr>抵押物情况汇总!注册房地产估价师</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2019-03-26T06:48:57Z</dcterms:modified>
</cp:coreProperties>
</file>