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455" yWindow="-255" windowWidth="11385" windowHeight="9465" tabRatio="899" firstSheet="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基准地价修正" sheetId="43"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4" i="34" l="1"/>
  <c r="V24" i="1"/>
  <c r="V23" i="1"/>
  <c r="N6" i="1" l="1"/>
  <c r="B29" i="1" l="1"/>
  <c r="AD6" i="1"/>
  <c r="I37" i="34" l="1"/>
  <c r="E37" i="34"/>
  <c r="C37" i="34"/>
  <c r="G37" i="34"/>
  <c r="D105" i="34"/>
  <c r="E105" i="34" s="1"/>
  <c r="F105" i="34" s="1"/>
  <c r="G105" i="34" s="1"/>
  <c r="H105" i="34" s="1"/>
  <c r="D29" i="43" l="1"/>
  <c r="Y6" i="1"/>
  <c r="F19" i="6"/>
  <c r="B7" i="4"/>
  <c r="D3" i="4"/>
  <c r="AH5" i="71" l="1"/>
  <c r="AG5" i="71"/>
  <c r="AE5" i="71"/>
  <c r="AF5" i="71"/>
  <c r="AD5" i="71"/>
  <c r="Q5" i="71"/>
  <c r="Q6" i="71"/>
  <c r="Q7" i="71"/>
  <c r="AB5" i="71"/>
  <c r="P5" i="71"/>
  <c r="P6" i="71"/>
  <c r="P7" i="71"/>
  <c r="AA5" i="71"/>
  <c r="O5" i="71"/>
  <c r="O6" i="71"/>
  <c r="O7" i="71"/>
  <c r="Y5" i="71"/>
  <c r="Z5" i="71" s="1"/>
  <c r="N5" i="71"/>
  <c r="N6" i="71"/>
  <c r="N7" i="71"/>
  <c r="X5" i="71"/>
  <c r="F7" i="71"/>
  <c r="F6" i="71"/>
  <c r="F5" i="71"/>
  <c r="E7" i="71"/>
  <c r="E6" i="71"/>
  <c r="E5" i="71"/>
  <c r="C7" i="71"/>
  <c r="C6" i="71"/>
  <c r="C5" i="71"/>
  <c r="D5"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B19" i="72" s="1"/>
  <c r="K59" i="67"/>
  <c r="P61" i="67"/>
  <c r="K59" i="15"/>
  <c r="P74" i="15" s="1"/>
  <c r="P74" i="67"/>
  <c r="D116" i="39"/>
  <c r="E116" i="39"/>
  <c r="F116" i="39"/>
  <c r="G116" i="39"/>
  <c r="H116" i="39"/>
  <c r="I116" i="39"/>
  <c r="J116" i="39"/>
  <c r="K116" i="39"/>
  <c r="L116" i="39"/>
  <c r="M116" i="39"/>
  <c r="C116" i="39"/>
  <c r="A21" i="62"/>
  <c r="A20" i="62"/>
  <c r="B66" i="72" s="1"/>
  <c r="A22" i="51"/>
  <c r="A21" i="51"/>
  <c r="A20" i="51"/>
  <c r="A15" i="62"/>
  <c r="A14" i="62"/>
  <c r="A13" i="62"/>
  <c r="B59" i="72" s="1"/>
  <c r="A19" i="62"/>
  <c r="A12" i="62"/>
  <c r="B58" i="72" s="1"/>
  <c r="A120" i="9"/>
  <c r="H2" i="52"/>
  <c r="A1" i="52"/>
  <c r="A3" i="53"/>
  <c r="Q14" i="71"/>
  <c r="P14" i="71"/>
  <c r="O14" i="71"/>
  <c r="N14"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10" i="72"/>
  <c r="C53" i="10"/>
  <c r="B51" i="10"/>
  <c r="A18" i="51"/>
  <c r="B13" i="72" s="1"/>
  <c r="B49" i="48"/>
  <c r="B5" i="72" s="1"/>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AA21" i="34" s="1"/>
  <c r="C21" i="34"/>
  <c r="Z21" i="33"/>
  <c r="Q21" i="33"/>
  <c r="D83" i="33"/>
  <c r="E83" i="33"/>
  <c r="C21" i="33"/>
  <c r="C21" i="21"/>
  <c r="Q21" i="21"/>
  <c r="Z21" i="21"/>
  <c r="H19" i="21"/>
  <c r="D83" i="21"/>
  <c r="F21" i="21"/>
  <c r="AA21" i="21"/>
  <c r="D81" i="21"/>
  <c r="G20" i="20"/>
  <c r="B86" i="43"/>
  <c r="C22" i="20"/>
  <c r="B75" i="43" s="1"/>
  <c r="B55" i="43"/>
  <c r="C25" i="40"/>
  <c r="S25" i="40"/>
  <c r="S29" i="39"/>
  <c r="S18" i="36"/>
  <c r="U18" i="36"/>
  <c r="F94" i="40"/>
  <c r="H25" i="40"/>
  <c r="G94" i="40"/>
  <c r="J25" i="40"/>
  <c r="F103" i="39"/>
  <c r="H29" i="39"/>
  <c r="G103" i="39"/>
  <c r="J29" i="39"/>
  <c r="G66" i="36"/>
  <c r="J18" i="36"/>
  <c r="F68" i="35"/>
  <c r="H18" i="35"/>
  <c r="S18" i="35"/>
  <c r="G68" i="35"/>
  <c r="J18" i="35"/>
  <c r="F77" i="37"/>
  <c r="H21" i="37"/>
  <c r="F21" i="37"/>
  <c r="H21" i="34"/>
  <c r="AB21" i="34" s="1"/>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J21" i="34"/>
  <c r="AC21" i="34" s="1"/>
  <c r="G83" i="33"/>
  <c r="J21" i="33"/>
  <c r="F83" i="21"/>
  <c r="H21" i="21"/>
  <c r="F38" i="69"/>
  <c r="E37" i="69"/>
  <c r="F36" i="69"/>
  <c r="F35" i="69"/>
  <c r="F21" i="69"/>
  <c r="C21" i="69"/>
  <c r="F20" i="69"/>
  <c r="E10" i="69"/>
  <c r="E9" i="69"/>
  <c r="C7" i="69"/>
  <c r="AC21" i="37"/>
  <c r="W21" i="37"/>
  <c r="AC21" i="33"/>
  <c r="W21" i="33"/>
  <c r="AB21" i="21"/>
  <c r="U21" i="21"/>
  <c r="G83" i="21"/>
  <c r="J21" i="21"/>
  <c r="C40" i="69"/>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D66" i="43" s="1"/>
  <c r="M65" i="43"/>
  <c r="N65" i="43" s="1"/>
  <c r="K65" i="43"/>
  <c r="J65" i="43" s="1"/>
  <c r="M64" i="43"/>
  <c r="N64" i="43" s="1"/>
  <c r="K64" i="43"/>
  <c r="D64" i="43" s="1"/>
  <c r="M63" i="43"/>
  <c r="N63" i="43" s="1"/>
  <c r="K63" i="43"/>
  <c r="J63" i="43" s="1"/>
  <c r="M62" i="43"/>
  <c r="N62" i="43" s="1"/>
  <c r="K62" i="43"/>
  <c r="D62" i="43" s="1"/>
  <c r="M61" i="43"/>
  <c r="N61" i="43" s="1"/>
  <c r="K61" i="43"/>
  <c r="J61" i="43" s="1"/>
  <c r="M60" i="43"/>
  <c r="N60" i="43" s="1"/>
  <c r="K60" i="43"/>
  <c r="D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BA95" i="3" s="1"/>
  <c r="AX95" i="3"/>
  <c r="AW95" i="3"/>
  <c r="AV95" i="3"/>
  <c r="AC95" i="3"/>
  <c r="H95" i="3"/>
  <c r="G95" i="3"/>
  <c r="BT94" i="3"/>
  <c r="BS94" i="3"/>
  <c r="BR94" i="3"/>
  <c r="BQ94" i="3"/>
  <c r="BP94" i="3"/>
  <c r="BO94" i="3"/>
  <c r="BN94" i="3"/>
  <c r="BM94" i="3"/>
  <c r="BK94" i="3"/>
  <c r="BJ94" i="3"/>
  <c r="BI94" i="3"/>
  <c r="BH94" i="3"/>
  <c r="BG94" i="3"/>
  <c r="BF94" i="3"/>
  <c r="BE94" i="3"/>
  <c r="BD94" i="3"/>
  <c r="BC94" i="3"/>
  <c r="BB94" i="3"/>
  <c r="AX94" i="3"/>
  <c r="AW94" i="3"/>
  <c r="AV94" i="3"/>
  <c r="AC94" i="3"/>
  <c r="H94" i="3"/>
  <c r="G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c r="BT25" i="3"/>
  <c r="BS25" i="3"/>
  <c r="BR25" i="3"/>
  <c r="BQ25" i="3"/>
  <c r="BP25" i="3"/>
  <c r="BO25" i="3"/>
  <c r="BN25" i="3"/>
  <c r="BM25" i="3"/>
  <c r="BK25" i="3"/>
  <c r="BJ25" i="3"/>
  <c r="BI25" i="3"/>
  <c r="BH25" i="3"/>
  <c r="BG25" i="3"/>
  <c r="BF25" i="3"/>
  <c r="BE25" i="3"/>
  <c r="BD25" i="3"/>
  <c r="BC25" i="3"/>
  <c r="BB25" i="3"/>
  <c r="BA25" i="3" s="1"/>
  <c r="AX25" i="3"/>
  <c r="AW25" i="3"/>
  <c r="AV25" i="3"/>
  <c r="AC25" i="3"/>
  <c r="H25" i="3"/>
  <c r="G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s="1"/>
  <c r="AZ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s="1"/>
  <c r="AZ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s="1"/>
  <c r="AZ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s="1"/>
  <c r="AZ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S38" i="34" s="1"/>
  <c r="D112" i="34"/>
  <c r="E112" i="34"/>
  <c r="F112" i="34" s="1"/>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s="1"/>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c r="Q11" i="34"/>
  <c r="Z11" i="34" s="1"/>
  <c r="Q10" i="34"/>
  <c r="Z10" i="34"/>
  <c r="F10" i="34"/>
  <c r="AA10" i="34" s="1"/>
  <c r="Q9" i="34"/>
  <c r="Z9" i="34"/>
  <c r="J9" i="34"/>
  <c r="AC9" i="34" s="1"/>
  <c r="H9" i="34"/>
  <c r="F9" i="34"/>
  <c r="AA9" i="34" s="1"/>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s="1"/>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s="1"/>
  <c r="E114" i="34"/>
  <c r="H36" i="34"/>
  <c r="U36" i="34" s="1"/>
  <c r="S35" i="34"/>
  <c r="F28" i="34"/>
  <c r="AA28" i="34" s="1"/>
  <c r="H23" i="34"/>
  <c r="U23" i="34" s="1"/>
  <c r="J23" i="34"/>
  <c r="F19" i="34"/>
  <c r="H17" i="34"/>
  <c r="U17" i="34" s="1"/>
  <c r="F15" i="34"/>
  <c r="AA15" i="34" s="1"/>
  <c r="J15" i="34"/>
  <c r="AC15" i="34" s="1"/>
  <c r="H15" i="34"/>
  <c r="AB15" i="34" s="1"/>
  <c r="S9" i="34"/>
  <c r="W8" i="34"/>
  <c r="J28" i="34"/>
  <c r="W28" i="34" s="1"/>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W43" i="34" s="1"/>
  <c r="AB42" i="34"/>
  <c r="J40" i="34"/>
  <c r="F114" i="34"/>
  <c r="G114" i="34" s="1"/>
  <c r="H114" i="34" s="1"/>
  <c r="I114" i="34" s="1"/>
  <c r="J114" i="34" s="1"/>
  <c r="K114" i="34" s="1"/>
  <c r="L114" i="34" s="1"/>
  <c r="M114" i="34" s="1"/>
  <c r="H38" i="34"/>
  <c r="AB38" i="34" s="1"/>
  <c r="J36" i="34"/>
  <c r="W36" i="34"/>
  <c r="AB23" i="34"/>
  <c r="F23" i="34"/>
  <c r="AA23" i="34" s="1"/>
  <c r="J19" i="34"/>
  <c r="AC19" i="34" s="1"/>
  <c r="F17" i="34"/>
  <c r="AA17" i="34" s="1"/>
  <c r="J17" i="34"/>
  <c r="W17" i="34" s="1"/>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U23" i="40"/>
  <c r="G123" i="21"/>
  <c r="H123" i="21"/>
  <c r="I123" i="21"/>
  <c r="J123" i="21"/>
  <c r="K123" i="21"/>
  <c r="L123" i="21"/>
  <c r="M123" i="21"/>
  <c r="J42" i="21"/>
  <c r="AC42" i="21"/>
  <c r="H42" i="21"/>
  <c r="U42" i="21"/>
  <c r="J44" i="34"/>
  <c r="F44" i="34"/>
  <c r="AA44" i="34" s="1"/>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s="1"/>
  <c r="F14" i="34"/>
  <c r="S14" i="34" s="1"/>
  <c r="H14" i="34"/>
  <c r="H30" i="34"/>
  <c r="F30" i="34"/>
  <c r="S30" i="34" s="1"/>
  <c r="J30" i="34"/>
  <c r="W30" i="34" s="1"/>
  <c r="H32" i="34"/>
  <c r="F32" i="34"/>
  <c r="S32" i="34" s="1"/>
  <c r="J32" i="34"/>
  <c r="W32" i="34" s="1"/>
  <c r="H46" i="34"/>
  <c r="U46" i="34" s="1"/>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W29" i="34" s="1"/>
  <c r="F29" i="34"/>
  <c r="S29" i="34" s="1"/>
  <c r="H29" i="34"/>
  <c r="AB29" i="34" s="1"/>
  <c r="J31" i="34"/>
  <c r="AC31" i="34"/>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27" i="34"/>
  <c r="AB27" i="34" s="1"/>
  <c r="H35" i="34"/>
  <c r="U35" i="34" s="1"/>
  <c r="F41" i="34"/>
  <c r="S41" i="34"/>
  <c r="H41" i="34"/>
  <c r="U41" i="34" s="1"/>
  <c r="J41" i="34"/>
  <c r="AC41" i="34" s="1"/>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AC36"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c r="A2" i="9"/>
  <c r="AZ32" i="3"/>
  <c r="AZ497" i="3"/>
  <c r="BL549" i="3"/>
  <c r="AZ494" i="3"/>
  <c r="AZ502" i="3"/>
  <c r="AZ514" i="3"/>
  <c r="AZ522" i="3"/>
  <c r="AZ530" i="3"/>
  <c r="AZ546"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BL116" i="3"/>
  <c r="G117" i="3"/>
  <c r="BA119" i="3"/>
  <c r="AZ119" i="3" s="1"/>
  <c r="BL120" i="3"/>
  <c r="G121" i="3"/>
  <c r="BA123" i="3"/>
  <c r="BL124" i="3"/>
  <c r="G125" i="3"/>
  <c r="BA127" i="3"/>
  <c r="AZ127" i="3" s="1"/>
  <c r="BL128" i="3"/>
  <c r="G129" i="3"/>
  <c r="BA131" i="3"/>
  <c r="BL132" i="3"/>
  <c r="G133" i="3"/>
  <c r="BA135" i="3"/>
  <c r="AZ135" i="3" s="1"/>
  <c r="BL136" i="3"/>
  <c r="AZ136" i="3" s="1"/>
  <c r="G137" i="3"/>
  <c r="BA139" i="3"/>
  <c r="BL140" i="3"/>
  <c r="G141" i="3"/>
  <c r="BA143" i="3"/>
  <c r="AZ143" i="3" s="1"/>
  <c r="BL144" i="3"/>
  <c r="G145" i="3"/>
  <c r="BA147" i="3"/>
  <c r="BL148" i="3"/>
  <c r="G149" i="3"/>
  <c r="BA151" i="3"/>
  <c r="AZ151" i="3" s="1"/>
  <c r="BL152" i="3"/>
  <c r="G153" i="3"/>
  <c r="BA155" i="3"/>
  <c r="BL156" i="3"/>
  <c r="G157" i="3"/>
  <c r="BA159" i="3"/>
  <c r="AZ159" i="3" s="1"/>
  <c r="BL160" i="3"/>
  <c r="G161" i="3"/>
  <c r="BA163" i="3"/>
  <c r="BL164" i="3"/>
  <c r="G165" i="3"/>
  <c r="BA167" i="3"/>
  <c r="AZ167" i="3" s="1"/>
  <c r="BL168" i="3"/>
  <c r="G169" i="3"/>
  <c r="BA171" i="3"/>
  <c r="BL172" i="3"/>
  <c r="G173" i="3"/>
  <c r="BA175" i="3"/>
  <c r="AZ175" i="3" s="1"/>
  <c r="BL176" i="3"/>
  <c r="G177" i="3"/>
  <c r="BA179" i="3"/>
  <c r="BL180" i="3"/>
  <c r="G181" i="3"/>
  <c r="BA183" i="3"/>
  <c r="AZ183" i="3" s="1"/>
  <c r="BL184" i="3"/>
  <c r="G185" i="3"/>
  <c r="BA187" i="3"/>
  <c r="AZ187" i="3" s="1"/>
  <c r="BL188" i="3"/>
  <c r="G189" i="3"/>
  <c r="BA191" i="3"/>
  <c r="AZ191" i="3" s="1"/>
  <c r="BL192" i="3"/>
  <c r="G193" i="3"/>
  <c r="BA195" i="3"/>
  <c r="AZ195" i="3" s="1"/>
  <c r="BL196" i="3"/>
  <c r="AZ196" i="3" s="1"/>
  <c r="G197" i="3"/>
  <c r="BA199" i="3"/>
  <c r="AZ199" i="3" s="1"/>
  <c r="BL200" i="3"/>
  <c r="G201" i="3"/>
  <c r="BA203" i="3"/>
  <c r="AZ203" i="3" s="1"/>
  <c r="BL204" i="3"/>
  <c r="AZ204" i="3" s="1"/>
  <c r="AZ144" i="3"/>
  <c r="AZ160" i="3"/>
  <c r="AZ176" i="3"/>
  <c r="AZ192" i="3"/>
  <c r="AZ200" i="3"/>
  <c r="AZ85" i="3"/>
  <c r="AZ89"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AZ320" i="3" s="1"/>
  <c r="BA321" i="3"/>
  <c r="AZ321" i="3" s="1"/>
  <c r="BL321" i="3"/>
  <c r="G322" i="3"/>
  <c r="G325" i="3"/>
  <c r="BL326" i="3"/>
  <c r="BA328" i="3"/>
  <c r="BA329" i="3"/>
  <c r="BL329" i="3"/>
  <c r="G330" i="3"/>
  <c r="G333" i="3"/>
  <c r="BL334" i="3"/>
  <c r="BA336" i="3"/>
  <c r="AZ336" i="3" s="1"/>
  <c r="BA337" i="3"/>
  <c r="AZ337" i="3" s="1"/>
  <c r="BL337" i="3"/>
  <c r="G338" i="3"/>
  <c r="G341" i="3"/>
  <c r="BA342" i="3"/>
  <c r="BL342" i="3"/>
  <c r="BA344" i="3"/>
  <c r="BL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50" i="3"/>
  <c r="AZ166" i="3"/>
  <c r="AZ182" i="3"/>
  <c r="AZ500" i="3"/>
  <c r="BA16" i="3"/>
  <c r="AZ16" i="3" s="1"/>
  <c r="BL303" i="3"/>
  <c r="G304" i="3"/>
  <c r="BA306" i="3"/>
  <c r="AZ306" i="3" s="1"/>
  <c r="BL307" i="3"/>
  <c r="G308" i="3"/>
  <c r="BA310" i="3"/>
  <c r="AZ310" i="3" s="1"/>
  <c r="BL311" i="3"/>
  <c r="AZ311" i="3" s="1"/>
  <c r="G312" i="3"/>
  <c r="BA314" i="3"/>
  <c r="BL315" i="3"/>
  <c r="G316" i="3"/>
  <c r="BA318" i="3"/>
  <c r="AZ318" i="3" s="1"/>
  <c r="BL319" i="3"/>
  <c r="G320" i="3"/>
  <c r="BA322" i="3"/>
  <c r="AZ322" i="3" s="1"/>
  <c r="BL323" i="3"/>
  <c r="G324" i="3"/>
  <c r="BA326" i="3"/>
  <c r="AZ326" i="3" s="1"/>
  <c r="BL327" i="3"/>
  <c r="AZ327" i="3" s="1"/>
  <c r="G328" i="3"/>
  <c r="BA330" i="3"/>
  <c r="BL331" i="3"/>
  <c r="AZ331" i="3" s="1"/>
  <c r="G332" i="3"/>
  <c r="BA334" i="3"/>
  <c r="AZ334" i="3" s="1"/>
  <c r="BL335" i="3"/>
  <c r="G336" i="3"/>
  <c r="BA338" i="3"/>
  <c r="AZ338" i="3" s="1"/>
  <c r="BL339" i="3"/>
  <c r="G340" i="3"/>
  <c r="BL343" i="3"/>
  <c r="G344" i="3"/>
  <c r="G348" i="3"/>
  <c r="G355" i="3"/>
  <c r="G342" i="3"/>
  <c r="BL345" i="3"/>
  <c r="AZ345" i="3" s="1"/>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370" i="3"/>
  <c r="BA379" i="3"/>
  <c r="AZ379" i="3"/>
  <c r="BL380" i="3"/>
  <c r="G381" i="3"/>
  <c r="BA383" i="3"/>
  <c r="AZ383" i="3"/>
  <c r="BL384" i="3"/>
  <c r="G385" i="3"/>
  <c r="BA387" i="3"/>
  <c r="AZ387" i="3"/>
  <c r="BL388" i="3"/>
  <c r="G389" i="3"/>
  <c r="BA391" i="3"/>
  <c r="AZ391" i="3"/>
  <c r="BL392" i="3"/>
  <c r="G393" i="3"/>
  <c r="BO5" i="3"/>
  <c r="BM5" i="3"/>
  <c r="F29" i="6" s="1"/>
  <c r="BJ5" i="3"/>
  <c r="BH5" i="3"/>
  <c r="BF5" i="3"/>
  <c r="BD5" i="3"/>
  <c r="AZ309" i="3"/>
  <c r="AZ325"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s="1"/>
  <c r="AZ380" i="3"/>
  <c r="AZ384" i="3"/>
  <c r="AZ388" i="3"/>
  <c r="AZ392" i="3"/>
  <c r="AZ396" i="3"/>
  <c r="AZ394" i="3"/>
  <c r="AZ499" i="3"/>
  <c r="AZ509" i="3"/>
  <c r="E8" i="6"/>
  <c r="F27" i="6" s="1"/>
  <c r="G509" i="3"/>
  <c r="BL493" i="3"/>
  <c r="AZ491" i="3"/>
  <c r="AZ376" i="3"/>
  <c r="AZ390" i="3"/>
  <c r="AZ382" i="3"/>
  <c r="AZ493" i="3"/>
  <c r="U36" i="40"/>
  <c r="F36" i="43"/>
  <c r="F81" i="43"/>
  <c r="H83" i="43" s="1"/>
  <c r="H113" i="43"/>
  <c r="F48" i="43"/>
  <c r="H52" i="43" s="1"/>
  <c r="F70" i="43"/>
  <c r="H73" i="43" s="1"/>
  <c r="M11" i="43"/>
  <c r="D17" i="43"/>
  <c r="F39" i="43"/>
  <c r="I17" i="43"/>
  <c r="F35" i="43"/>
  <c r="J17" i="43"/>
  <c r="F6" i="1"/>
  <c r="G41" i="43"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s="1"/>
  <c r="J39" i="34"/>
  <c r="W39" i="34" s="1"/>
  <c r="F40" i="34"/>
  <c r="S40" i="34" s="1"/>
  <c r="F43" i="34"/>
  <c r="AA43" i="34" s="1"/>
  <c r="H44" i="34"/>
  <c r="AB44" i="34" s="1"/>
  <c r="AC38" i="39"/>
  <c r="F39" i="39"/>
  <c r="S39" i="39"/>
  <c r="J39" i="39"/>
  <c r="AC39" i="39"/>
  <c r="E97" i="39"/>
  <c r="F97" i="39"/>
  <c r="G97" i="39"/>
  <c r="AZ353" i="3"/>
  <c r="AZ354" i="3"/>
  <c r="AZ386" i="3"/>
  <c r="C40" i="11"/>
  <c r="AZ31" i="3"/>
  <c r="AZ77" i="3"/>
  <c r="AZ110" i="3"/>
  <c r="H75" i="43"/>
  <c r="I20" i="43"/>
  <c r="F23" i="39"/>
  <c r="AA23" i="39"/>
  <c r="H27" i="36"/>
  <c r="U27" i="36"/>
  <c r="F27" i="36"/>
  <c r="AA27" i="36"/>
  <c r="H33" i="34"/>
  <c r="U33" i="34" s="1"/>
  <c r="F32" i="37"/>
  <c r="AA32" i="37"/>
  <c r="G96" i="37"/>
  <c r="H96" i="37"/>
  <c r="I96" i="37"/>
  <c r="J96" i="37"/>
  <c r="K96" i="37"/>
  <c r="L96" i="37"/>
  <c r="M96" i="37"/>
  <c r="F20" i="36"/>
  <c r="AA20" i="36"/>
  <c r="J33" i="34"/>
  <c r="AC33" i="34" s="1"/>
  <c r="H23" i="39"/>
  <c r="U23" i="39"/>
  <c r="D48" i="9"/>
  <c r="M52" i="9"/>
  <c r="H82" i="43"/>
  <c r="K9" i="1"/>
  <c r="M9" i="1" s="1"/>
  <c r="AE9" i="1"/>
  <c r="D93" i="9"/>
  <c r="E12" i="6"/>
  <c r="E15" i="6"/>
  <c r="E60" i="40" s="1"/>
  <c r="K6" i="1"/>
  <c r="E13" i="6"/>
  <c r="E58" i="40" s="1"/>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U30" i="33"/>
  <c r="AC13" i="34"/>
  <c r="AA47" i="34"/>
  <c r="W28" i="37"/>
  <c r="S19" i="39"/>
  <c r="F12" i="33"/>
  <c r="H12" i="39"/>
  <c r="AB12" i="39"/>
  <c r="F39" i="40"/>
  <c r="BA14" i="3"/>
  <c r="AZ14" i="3" s="1"/>
  <c r="AZ367" i="3"/>
  <c r="AZ19" i="3"/>
  <c r="AZ26" i="3"/>
  <c r="AZ41" i="3"/>
  <c r="S12" i="1"/>
  <c r="R12" i="1"/>
  <c r="B12" i="1"/>
  <c r="E12" i="1"/>
  <c r="S10" i="1"/>
  <c r="AQ10" i="1" s="1"/>
  <c r="R10" i="1"/>
  <c r="B10" i="1"/>
  <c r="E10" i="1"/>
  <c r="D1" i="66"/>
  <c r="E10" i="66"/>
  <c r="AZ80" i="3"/>
  <c r="AZ88" i="3"/>
  <c r="AZ111" i="3"/>
  <c r="K12" i="1"/>
  <c r="M12" i="1" s="1"/>
  <c r="S13" i="1"/>
  <c r="AR13" i="1" s="1"/>
  <c r="R13" i="1"/>
  <c r="S11" i="1"/>
  <c r="AQ11" i="1" s="1"/>
  <c r="R11" i="1"/>
  <c r="S9" i="1"/>
  <c r="AR9" i="1" s="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AB8" i="34"/>
  <c r="U44" i="34"/>
  <c r="U43" i="34"/>
  <c r="W41" i="34"/>
  <c r="AC42" i="34"/>
  <c r="U39" i="34"/>
  <c r="AB41" i="34"/>
  <c r="AA45" i="34"/>
  <c r="W34" i="34"/>
  <c r="U28" i="34"/>
  <c r="AA29" i="34"/>
  <c r="U27" i="34"/>
  <c r="S23" i="34"/>
  <c r="U15" i="34"/>
  <c r="S10" i="34"/>
  <c r="S13" i="34"/>
  <c r="H10" i="34"/>
  <c r="AB10" i="34" s="1"/>
  <c r="F11" i="34"/>
  <c r="S11" i="34" s="1"/>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s="1"/>
  <c r="G13" i="3"/>
  <c r="G5" i="3" s="1"/>
  <c r="B3" i="3" s="1"/>
  <c r="BA13" i="3"/>
  <c r="E10" i="6"/>
  <c r="E11" i="6"/>
  <c r="E61" i="39" s="1"/>
  <c r="BL17" i="3"/>
  <c r="AZ17" i="3" s="1"/>
  <c r="BL13" i="3"/>
  <c r="E65" i="39"/>
  <c r="J56" i="9"/>
  <c r="J57" i="9" s="1"/>
  <c r="J59" i="9" s="1"/>
  <c r="J61" i="9" s="1"/>
  <c r="A24" i="51"/>
  <c r="B18" i="72"/>
  <c r="E14" i="6"/>
  <c r="E64" i="39" s="1"/>
  <c r="E5" i="6"/>
  <c r="D9" i="11" s="1"/>
  <c r="C9" i="11" s="1"/>
  <c r="E32" i="6"/>
  <c r="L19" i="6"/>
  <c r="G1" i="68"/>
  <c r="K1" i="12"/>
  <c r="E57" i="40"/>
  <c r="AR12" i="1"/>
  <c r="AQ12" i="1"/>
  <c r="T12" i="1"/>
  <c r="AR10" i="1"/>
  <c r="T10" i="1"/>
  <c r="E19" i="69"/>
  <c r="E19" i="68"/>
  <c r="E19" i="11"/>
  <c r="E1" i="73"/>
  <c r="G41" i="69"/>
  <c r="G22" i="69"/>
  <c r="G41" i="68"/>
  <c r="G22" i="68"/>
  <c r="G27" i="12"/>
  <c r="G26" i="12"/>
  <c r="G41" i="11"/>
  <c r="G22" i="11"/>
  <c r="G25" i="12"/>
  <c r="C100" i="43"/>
  <c r="C7" i="43"/>
  <c r="E81" i="43"/>
  <c r="B79" i="43"/>
  <c r="E48" i="43"/>
  <c r="B46" i="43"/>
  <c r="E70" i="43"/>
  <c r="B68" i="43"/>
  <c r="F100" i="43"/>
  <c r="H17" i="43"/>
  <c r="D9" i="53"/>
  <c r="B25" i="72"/>
  <c r="B24" i="72"/>
  <c r="H85" i="43"/>
  <c r="H81" i="43"/>
  <c r="H84" i="43"/>
  <c r="H88" i="43"/>
  <c r="H53" i="43"/>
  <c r="H78" i="43"/>
  <c r="H71" i="43"/>
  <c r="C17" i="43"/>
  <c r="F33" i="43"/>
  <c r="K17" i="43"/>
  <c r="F34" i="43"/>
  <c r="N6" i="43"/>
  <c r="N3" i="43"/>
  <c r="F38" i="43"/>
  <c r="F37" i="43"/>
  <c r="M9" i="43"/>
  <c r="N5" i="43"/>
  <c r="M12" i="43"/>
  <c r="B19" i="53"/>
  <c r="B37" i="72" s="1"/>
  <c r="C7" i="39"/>
  <c r="C68" i="39"/>
  <c r="C70" i="39" s="1"/>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s="1"/>
  <c r="C46" i="36"/>
  <c r="C59" i="34"/>
  <c r="D59" i="34" s="1"/>
  <c r="E59" i="34" s="1"/>
  <c r="C52" i="37"/>
  <c r="A4" i="51"/>
  <c r="B6" i="72" s="1"/>
  <c r="C48" i="35"/>
  <c r="C4" i="12"/>
  <c r="H55" i="43"/>
  <c r="H56" i="43"/>
  <c r="H72" i="43"/>
  <c r="L20" i="6"/>
  <c r="E62" i="39"/>
  <c r="E56" i="39"/>
  <c r="E51" i="40"/>
  <c r="B6" i="1"/>
  <c r="E6" i="1" s="1"/>
  <c r="S8" i="1"/>
  <c r="AQ8" i="1" s="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AB33" i="34"/>
  <c r="AC45" i="34"/>
  <c r="AA30" i="34"/>
  <c r="AB45" i="34"/>
  <c r="AB47" i="34"/>
  <c r="AB36" i="34"/>
  <c r="W33" i="34"/>
  <c r="AC14" i="34"/>
  <c r="AC32" i="34"/>
  <c r="AC29" i="34"/>
  <c r="W46" i="34"/>
  <c r="AC46" i="34"/>
  <c r="AA32" i="34"/>
  <c r="U30" i="34"/>
  <c r="AB30" i="34"/>
  <c r="U38" i="34"/>
  <c r="AC40" i="34"/>
  <c r="W40" i="34"/>
  <c r="AA19" i="34"/>
  <c r="S19" i="34"/>
  <c r="AA36" i="34"/>
  <c r="S36" i="34"/>
  <c r="AA8" i="34"/>
  <c r="S8" i="34"/>
  <c r="AB9" i="34"/>
  <c r="U9" i="34"/>
  <c r="S46" i="34"/>
  <c r="AA46" i="34"/>
  <c r="U32" i="34"/>
  <c r="AB32" i="34"/>
  <c r="U14" i="34"/>
  <c r="AB14" i="34"/>
  <c r="AC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5" i="40"/>
  <c r="C17" i="40"/>
  <c r="C23" i="40"/>
  <c r="C21" i="40"/>
  <c r="U30" i="40"/>
  <c r="B65" i="43"/>
  <c r="B52" i="43"/>
  <c r="B60" i="43"/>
  <c r="B67" i="43"/>
  <c r="D23" i="15"/>
  <c r="D22" i="15"/>
  <c r="AQ13" i="1"/>
  <c r="M6" i="1"/>
  <c r="O6" i="1" s="1"/>
  <c r="F30" i="68"/>
  <c r="C48" i="68" s="1"/>
  <c r="F30" i="11"/>
  <c r="C48" i="11"/>
  <c r="F28" i="67"/>
  <c r="F31" i="12"/>
  <c r="F52" i="9"/>
  <c r="M18" i="67"/>
  <c r="F32" i="67"/>
  <c r="F60" i="67"/>
  <c r="F30" i="69"/>
  <c r="C48" i="69"/>
  <c r="F32" i="15"/>
  <c r="F60" i="15"/>
  <c r="M18" i="15"/>
  <c r="F28" i="15"/>
  <c r="E63" i="39"/>
  <c r="C28" i="15"/>
  <c r="E553" i="3"/>
  <c r="E268" i="3"/>
  <c r="E282" i="3"/>
  <c r="E322" i="3"/>
  <c r="N6" i="3"/>
  <c r="AJ6" i="3"/>
  <c r="S7" i="1"/>
  <c r="AQ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AB11" i="34" s="1"/>
  <c r="J10" i="34"/>
  <c r="W10" i="34" s="1"/>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239" i="3"/>
  <c r="E509" i="3"/>
  <c r="E516" i="3"/>
  <c r="E579" i="3"/>
  <c r="E569"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R22" i="31"/>
  <c r="B21" i="31"/>
  <c r="L27" i="6"/>
  <c r="AP7" i="1"/>
  <c r="Q16" i="1"/>
  <c r="F27" i="69" s="1"/>
  <c r="C47" i="69" s="1"/>
  <c r="D45" i="69" s="1"/>
  <c r="AB45" i="21"/>
  <c r="AC33" i="21"/>
  <c r="W33" i="21"/>
  <c r="S33" i="21"/>
  <c r="AA33" i="21"/>
  <c r="W32" i="21"/>
  <c r="AC32" i="21"/>
  <c r="AB9" i="21"/>
  <c r="U9" i="21"/>
  <c r="AA32" i="21"/>
  <c r="S32" i="21"/>
  <c r="W9" i="21"/>
  <c r="AC9" i="21"/>
  <c r="AB32" i="21"/>
  <c r="U32" i="21"/>
  <c r="AA10" i="21"/>
  <c r="S10" i="21"/>
  <c r="C30" i="11"/>
  <c r="E6" i="70"/>
  <c r="E2" i="70" s="1"/>
  <c r="A18" i="62"/>
  <c r="B64" i="72" s="1"/>
  <c r="U32" i="39"/>
  <c r="AB32" i="39"/>
  <c r="AC32" i="39"/>
  <c r="W32" i="39"/>
  <c r="W19" i="37"/>
  <c r="AC19" i="37"/>
  <c r="W23" i="37"/>
  <c r="AC23" i="37"/>
  <c r="AB11" i="37"/>
  <c r="U11" i="37"/>
  <c r="H63" i="37"/>
  <c r="I63" i="37"/>
  <c r="J63" i="37"/>
  <c r="K63" i="37"/>
  <c r="L63" i="37"/>
  <c r="M63" i="37"/>
  <c r="J11" i="37"/>
  <c r="W10" i="37"/>
  <c r="AC10" i="37"/>
  <c r="U11" i="34"/>
  <c r="J11" i="34"/>
  <c r="W11" i="34" s="1"/>
  <c r="AC36" i="33"/>
  <c r="W36" i="33"/>
  <c r="U36" i="33"/>
  <c r="AB36" i="33"/>
  <c r="W27" i="33"/>
  <c r="AC27" i="33"/>
  <c r="W25" i="33"/>
  <c r="AC25" i="33"/>
  <c r="AA23" i="33"/>
  <c r="S23" i="33"/>
  <c r="AB19" i="33"/>
  <c r="U19" i="33"/>
  <c r="AA17" i="33"/>
  <c r="S17" i="33"/>
  <c r="U17" i="33"/>
  <c r="AB17" i="33"/>
  <c r="U23" i="21"/>
  <c r="AB23" i="21"/>
  <c r="AC23" i="21"/>
  <c r="W23" i="21"/>
  <c r="AC11" i="37"/>
  <c r="W11" i="37"/>
  <c r="AC11" i="34"/>
  <c r="R7" i="1"/>
  <c r="F34" i="11"/>
  <c r="C36" i="11" s="1"/>
  <c r="F11" i="12"/>
  <c r="C23" i="12" s="1"/>
  <c r="F34" i="68"/>
  <c r="R8" i="1"/>
  <c r="AE7" i="1"/>
  <c r="AE8" i="1"/>
  <c r="H109" i="9"/>
  <c r="D124" i="9" s="1"/>
  <c r="H110" i="9"/>
  <c r="D18" i="53" s="1"/>
  <c r="B35" i="72" s="1"/>
  <c r="D16" i="53"/>
  <c r="B34" i="72" s="1"/>
  <c r="J7" i="33"/>
  <c r="W7" i="33" s="1"/>
  <c r="F7" i="33"/>
  <c r="H7" i="33"/>
  <c r="H112" i="9"/>
  <c r="D21" i="53" s="1"/>
  <c r="B39" i="72" s="1"/>
  <c r="D59" i="9"/>
  <c r="M55" i="9"/>
  <c r="AD3" i="71"/>
  <c r="D63" i="40"/>
  <c r="D65" i="40" s="1"/>
  <c r="J1" i="73"/>
  <c r="C30" i="69"/>
  <c r="C30" i="68"/>
  <c r="H77" i="43"/>
  <c r="H76" i="43"/>
  <c r="H51" i="43"/>
  <c r="M4" i="43"/>
  <c r="M5" i="43"/>
  <c r="N12" i="43"/>
  <c r="N11" i="43"/>
  <c r="M10" i="43"/>
  <c r="M2" i="43"/>
  <c r="C6" i="43" s="1"/>
  <c r="M7" i="43"/>
  <c r="H70" i="43"/>
  <c r="H54" i="43"/>
  <c r="N9" i="43"/>
  <c r="M8" i="43"/>
  <c r="N10" i="43"/>
  <c r="H48" i="43"/>
  <c r="H74" i="43"/>
  <c r="M6" i="43"/>
  <c r="N7" i="43"/>
  <c r="N4" i="43"/>
  <c r="N2" i="43"/>
  <c r="F59" i="43" s="1"/>
  <c r="H49" i="43"/>
  <c r="N17" i="43"/>
  <c r="L17" i="43"/>
  <c r="O17" i="43"/>
  <c r="M17" i="43"/>
  <c r="E17" i="43"/>
  <c r="D68" i="39"/>
  <c r="D70" i="39" s="1"/>
  <c r="AC7" i="33"/>
  <c r="V48" i="33" s="1"/>
  <c r="I48" i="33" s="1"/>
  <c r="D58" i="21"/>
  <c r="E58" i="21" s="1"/>
  <c r="C10" i="71"/>
  <c r="D10" i="71"/>
  <c r="D11" i="71"/>
  <c r="D12" i="71"/>
  <c r="U12" i="71"/>
  <c r="S12" i="71"/>
  <c r="T12" i="71"/>
  <c r="AB10" i="71"/>
  <c r="X8" i="71"/>
  <c r="X7" i="71"/>
  <c r="AA8" i="71"/>
  <c r="AA7" i="71"/>
  <c r="X11" i="71"/>
  <c r="Z6" i="71"/>
  <c r="Y7" i="71"/>
  <c r="Z7" i="71" s="1"/>
  <c r="AB8" i="71"/>
  <c r="AB7" i="71"/>
  <c r="S8" i="71"/>
  <c r="F9" i="71"/>
  <c r="F8" i="71"/>
  <c r="Y8" i="71"/>
  <c r="Z8" i="71" s="1"/>
  <c r="B7" i="49"/>
  <c r="C4" i="4" s="1"/>
  <c r="E7" i="49"/>
  <c r="B15" i="49"/>
  <c r="AB3" i="71"/>
  <c r="X3" i="71"/>
  <c r="C9" i="71"/>
  <c r="E9" i="71"/>
  <c r="E8" i="71"/>
  <c r="E10" i="49"/>
  <c r="B6" i="49"/>
  <c r="E14" i="49"/>
  <c r="AF3" i="71"/>
  <c r="P24" i="43"/>
  <c r="B66" i="40" s="1"/>
  <c r="P21" i="43"/>
  <c r="P22" i="43"/>
  <c r="B13" i="49"/>
  <c r="B4" i="49"/>
  <c r="B9" i="49"/>
  <c r="E22" i="49"/>
  <c r="E16" i="49"/>
  <c r="E11" i="49"/>
  <c r="B10" i="49"/>
  <c r="E6" i="49"/>
  <c r="E8" i="49"/>
  <c r="E5" i="49"/>
  <c r="B8" i="49"/>
  <c r="B5" i="49"/>
  <c r="E21" i="49"/>
  <c r="E4" i="49"/>
  <c r="B11" i="49"/>
  <c r="E4" i="4" s="1"/>
  <c r="B5" i="62" s="1"/>
  <c r="B73" i="72" s="1"/>
  <c r="B14" i="49"/>
  <c r="B16" i="49"/>
  <c r="E13" i="49"/>
  <c r="E15" i="49"/>
  <c r="E9" i="49"/>
  <c r="B22" i="49"/>
  <c r="E63" i="40"/>
  <c r="F58" i="21"/>
  <c r="G58" i="21" s="1"/>
  <c r="H58" i="21" s="1"/>
  <c r="E68" i="39"/>
  <c r="V8" i="71"/>
  <c r="P23" i="43"/>
  <c r="B71" i="39" s="1"/>
  <c r="C8" i="71"/>
  <c r="D9" i="71"/>
  <c r="P25" i="43"/>
  <c r="E65" i="40"/>
  <c r="F63" i="40"/>
  <c r="G63" i="40" s="1"/>
  <c r="F68" i="39"/>
  <c r="F70" i="39" s="1"/>
  <c r="E70" i="39"/>
  <c r="D6" i="71"/>
  <c r="T8" i="71"/>
  <c r="D7" i="71"/>
  <c r="D8" i="71"/>
  <c r="F65" i="40"/>
  <c r="G68" i="39"/>
  <c r="H68" i="39" s="1"/>
  <c r="I68" i="39" s="1"/>
  <c r="I70" i="39" s="1"/>
  <c r="M20" i="43"/>
  <c r="C19" i="43"/>
  <c r="U8" i="71"/>
  <c r="G70" i="39"/>
  <c r="F31" i="15"/>
  <c r="F31" i="67"/>
  <c r="M9" i="67"/>
  <c r="AO12" i="1"/>
  <c r="F36" i="15"/>
  <c r="F9" i="15"/>
  <c r="F6" i="73"/>
  <c r="F42" i="15"/>
  <c r="F40" i="15"/>
  <c r="F6" i="67"/>
  <c r="J15" i="15"/>
  <c r="L48" i="67"/>
  <c r="B12" i="76"/>
  <c r="F9" i="67"/>
  <c r="D5" i="73"/>
  <c r="C76" i="15"/>
  <c r="L47" i="67"/>
  <c r="D6" i="73"/>
  <c r="F35" i="67"/>
  <c r="B9" i="76"/>
  <c r="M23" i="67"/>
  <c r="F26" i="67"/>
  <c r="F13" i="67"/>
  <c r="E13" i="76"/>
  <c r="D2" i="33"/>
  <c r="M24" i="15"/>
  <c r="F16" i="15"/>
  <c r="F7" i="73"/>
  <c r="F40" i="67"/>
  <c r="D2" i="36"/>
  <c r="M8" i="15"/>
  <c r="M23" i="15"/>
  <c r="E7" i="76"/>
  <c r="F16" i="67"/>
  <c r="D2" i="37"/>
  <c r="M22" i="15"/>
  <c r="AO11" i="1"/>
  <c r="D2" i="34"/>
  <c r="B8" i="76"/>
  <c r="F43" i="15"/>
  <c r="F42" i="67"/>
  <c r="M24" i="67"/>
  <c r="M28" i="67"/>
  <c r="F8" i="67"/>
  <c r="D2" i="35"/>
  <c r="M9" i="15"/>
  <c r="F4" i="73"/>
  <c r="B11" i="76"/>
  <c r="E8" i="76"/>
  <c r="B10" i="76"/>
  <c r="F8" i="15"/>
  <c r="B13" i="76"/>
  <c r="F41" i="67"/>
  <c r="M22" i="67"/>
  <c r="M28" i="15"/>
  <c r="F37" i="15"/>
  <c r="M27" i="67"/>
  <c r="M6" i="67"/>
  <c r="F7" i="67"/>
  <c r="F43" i="67"/>
  <c r="E10" i="76"/>
  <c r="L47" i="15"/>
  <c r="F38" i="67"/>
  <c r="M29" i="67"/>
  <c r="M21" i="67"/>
  <c r="B7" i="76"/>
  <c r="M29" i="15"/>
  <c r="D3" i="73"/>
  <c r="E11" i="76"/>
  <c r="AO13" i="1"/>
  <c r="J15" i="67"/>
  <c r="AO10" i="1"/>
  <c r="D4" i="73"/>
  <c r="F20" i="31"/>
  <c r="C76" i="67"/>
  <c r="F38" i="15"/>
  <c r="M26" i="15"/>
  <c r="E12" i="76"/>
  <c r="D7" i="73"/>
  <c r="F5" i="73"/>
  <c r="F7" i="15"/>
  <c r="AO8" i="1"/>
  <c r="M26" i="67"/>
  <c r="F26" i="15"/>
  <c r="F36" i="67"/>
  <c r="L48" i="15"/>
  <c r="M8" i="67"/>
  <c r="F6" i="15"/>
  <c r="AO7" i="1"/>
  <c r="F3" i="73"/>
  <c r="F37" i="67"/>
  <c r="D2" i="21"/>
  <c r="E2" i="69"/>
  <c r="E9" i="76"/>
  <c r="F13" i="15"/>
  <c r="AO9" i="1"/>
  <c r="F90" i="34" l="1"/>
  <c r="G90" i="34" s="1"/>
  <c r="H90" i="34" s="1"/>
  <c r="I90" i="34" s="1"/>
  <c r="J90" i="34" s="1"/>
  <c r="K90" i="34" s="1"/>
  <c r="L90" i="34" s="1"/>
  <c r="M90" i="34" s="1"/>
  <c r="J27" i="34"/>
  <c r="F27" i="34"/>
  <c r="G88" i="34"/>
  <c r="H88" i="34" s="1"/>
  <c r="I88" i="34" s="1"/>
  <c r="J88" i="34" s="1"/>
  <c r="K88" i="34" s="1"/>
  <c r="L88" i="34" s="1"/>
  <c r="M88" i="34" s="1"/>
  <c r="J25" i="34"/>
  <c r="F25" i="34"/>
  <c r="H25" i="34"/>
  <c r="AC10" i="34"/>
  <c r="U10" i="34"/>
  <c r="G112" i="34"/>
  <c r="H112" i="34" s="1"/>
  <c r="I112" i="34" s="1"/>
  <c r="J112" i="34" s="1"/>
  <c r="K112" i="34" s="1"/>
  <c r="L112" i="34" s="1"/>
  <c r="M112" i="34" s="1"/>
  <c r="J37" i="34"/>
  <c r="F37" i="34"/>
  <c r="H37" i="34"/>
  <c r="AA31" i="34"/>
  <c r="U29" i="34"/>
  <c r="AC28" i="34"/>
  <c r="S28" i="34"/>
  <c r="S15" i="34"/>
  <c r="W21" i="34"/>
  <c r="W19" i="34"/>
  <c r="AB35" i="34"/>
  <c r="S44" i="34"/>
  <c r="AB17" i="34"/>
  <c r="AC39" i="34"/>
  <c r="AA11" i="34"/>
  <c r="S17" i="34"/>
  <c r="S43" i="34"/>
  <c r="AA33" i="34"/>
  <c r="S21" i="34"/>
  <c r="P61" i="15"/>
  <c r="D59" i="43"/>
  <c r="D65" i="43"/>
  <c r="D63" i="43"/>
  <c r="D61" i="43"/>
  <c r="D67" i="43"/>
  <c r="J60" i="43"/>
  <c r="J62" i="43"/>
  <c r="J64" i="43"/>
  <c r="E11" i="43"/>
  <c r="E9" i="43"/>
  <c r="E10" i="43"/>
  <c r="E8" i="43"/>
  <c r="G17" i="43"/>
  <c r="C16" i="43" s="1"/>
  <c r="D5" i="43" s="1"/>
  <c r="H62" i="43"/>
  <c r="H66" i="43"/>
  <c r="H64" i="43"/>
  <c r="H67" i="43"/>
  <c r="H60" i="43"/>
  <c r="H65" i="43"/>
  <c r="H63" i="43"/>
  <c r="H59" i="43"/>
  <c r="H61" i="43"/>
  <c r="F22" i="43"/>
  <c r="K101" i="43"/>
  <c r="N101" i="43"/>
  <c r="G101" i="43"/>
  <c r="J101" i="43"/>
  <c r="H22" i="43"/>
  <c r="D101" i="43"/>
  <c r="I101" i="43"/>
  <c r="G22" i="43"/>
  <c r="S2" i="43"/>
  <c r="AJ11" i="43"/>
  <c r="AJ13" i="43" s="1"/>
  <c r="AF11" i="43"/>
  <c r="AF13" i="43" s="1"/>
  <c r="AB11" i="43"/>
  <c r="AB13" i="43" s="1"/>
  <c r="Z7" i="43"/>
  <c r="AI11" i="43"/>
  <c r="AI13" i="43" s="1"/>
  <c r="AE11" i="43"/>
  <c r="AE13" i="43" s="1"/>
  <c r="AA11" i="43"/>
  <c r="AA13" i="43" s="1"/>
  <c r="C23" i="43"/>
  <c r="C21" i="43" s="1"/>
  <c r="S3" i="43"/>
  <c r="J22" i="43"/>
  <c r="B113" i="43"/>
  <c r="F101" i="43"/>
  <c r="E22" i="43"/>
  <c r="C101" i="43"/>
  <c r="N104" i="46"/>
  <c r="L101" i="43"/>
  <c r="H101" i="43"/>
  <c r="M101" i="43"/>
  <c r="E101" i="43"/>
  <c r="AH11" i="43"/>
  <c r="AH13" i="43" s="1"/>
  <c r="AD11" i="43"/>
  <c r="AD13" i="43" s="1"/>
  <c r="Z11" i="43"/>
  <c r="Z13" i="43" s="1"/>
  <c r="S5" i="43"/>
  <c r="AG11" i="43"/>
  <c r="AG13" i="43" s="1"/>
  <c r="AC11" i="43"/>
  <c r="AC13" i="43" s="1"/>
  <c r="Y11" i="43"/>
  <c r="Y13" i="43" s="1"/>
  <c r="S6" i="43"/>
  <c r="S4" i="43"/>
  <c r="S7" i="43"/>
  <c r="C29" i="39"/>
  <c r="B66" i="43"/>
  <c r="B63" i="43"/>
  <c r="B56" i="43"/>
  <c r="B49" i="43"/>
  <c r="B54" i="43"/>
  <c r="C19" i="39"/>
  <c r="C21" i="39"/>
  <c r="C25" i="39"/>
  <c r="C92" i="9"/>
  <c r="C94" i="9"/>
  <c r="C31" i="12"/>
  <c r="C24" i="12"/>
  <c r="C28" i="67"/>
  <c r="C77" i="9"/>
  <c r="C74" i="9" s="1"/>
  <c r="C13" i="12"/>
  <c r="D23" i="67"/>
  <c r="T7" i="1"/>
  <c r="T8" i="1"/>
  <c r="E16" i="6"/>
  <c r="D9" i="69"/>
  <c r="C9" i="69" s="1"/>
  <c r="T9" i="1"/>
  <c r="AQ9" i="1"/>
  <c r="E53" i="3"/>
  <c r="E125" i="3"/>
  <c r="E175" i="3"/>
  <c r="E217" i="3"/>
  <c r="E319" i="3"/>
  <c r="E366" i="3"/>
  <c r="E530" i="3"/>
  <c r="E526" i="3"/>
  <c r="E69" i="3"/>
  <c r="E114" i="3"/>
  <c r="E261" i="3"/>
  <c r="E278" i="3"/>
  <c r="E304" i="3"/>
  <c r="E415" i="3"/>
  <c r="E528" i="3"/>
  <c r="E563" i="3"/>
  <c r="E565" i="3"/>
  <c r="E395" i="3"/>
  <c r="E183" i="3"/>
  <c r="E172" i="3"/>
  <c r="E260" i="3"/>
  <c r="E361" i="3"/>
  <c r="E445" i="3"/>
  <c r="E17" i="3"/>
  <c r="E550" i="3"/>
  <c r="E503" i="3"/>
  <c r="E535" i="3"/>
  <c r="E302" i="3"/>
  <c r="E329" i="3"/>
  <c r="E347" i="3"/>
  <c r="E539" i="3"/>
  <c r="E583" i="3"/>
  <c r="E545" i="3"/>
  <c r="AA6" i="3"/>
  <c r="E567" i="3"/>
  <c r="X6" i="3"/>
  <c r="E510" i="3"/>
  <c r="E399" i="3"/>
  <c r="E461" i="3"/>
  <c r="E336" i="3"/>
  <c r="E352" i="3"/>
  <c r="E280" i="3"/>
  <c r="E227" i="3"/>
  <c r="E205" i="3"/>
  <c r="E124" i="3"/>
  <c r="E165" i="3"/>
  <c r="E293" i="3"/>
  <c r="E128" i="3"/>
  <c r="E397" i="3"/>
  <c r="E353" i="3"/>
  <c r="E314" i="3"/>
  <c r="E385" i="3"/>
  <c r="E568" i="3"/>
  <c r="E495" i="3"/>
  <c r="E511" i="3"/>
  <c r="E518" i="3"/>
  <c r="I6" i="3"/>
  <c r="AN6" i="3"/>
  <c r="AC6" i="3" s="1"/>
  <c r="E16" i="3"/>
  <c r="AI6" i="3"/>
  <c r="E536" i="3"/>
  <c r="E586" i="3"/>
  <c r="AK6" i="3"/>
  <c r="E578" i="3"/>
  <c r="E549" i="3"/>
  <c r="E402" i="3"/>
  <c r="E434" i="3"/>
  <c r="E423" i="3"/>
  <c r="E453" i="3"/>
  <c r="E350" i="3"/>
  <c r="E306" i="3"/>
  <c r="E382" i="3"/>
  <c r="E368" i="3"/>
  <c r="E303" i="3"/>
  <c r="E296" i="3"/>
  <c r="E263" i="3"/>
  <c r="E244" i="3"/>
  <c r="E301" i="3"/>
  <c r="E262" i="3"/>
  <c r="E196" i="3"/>
  <c r="E159" i="3"/>
  <c r="E136" i="3"/>
  <c r="E191" i="3"/>
  <c r="E156" i="3"/>
  <c r="E99" i="3"/>
  <c r="E236" i="3"/>
  <c r="E188" i="3"/>
  <c r="E148" i="3"/>
  <c r="E228" i="3"/>
  <c r="E269" i="3"/>
  <c r="E181" i="3"/>
  <c r="E122" i="3"/>
  <c r="E157" i="3"/>
  <c r="E89" i="3"/>
  <c r="E140" i="3"/>
  <c r="E120" i="3"/>
  <c r="E85" i="3"/>
  <c r="E45" i="3"/>
  <c r="E277" i="3"/>
  <c r="E197" i="3"/>
  <c r="E177" i="3"/>
  <c r="E116" i="3"/>
  <c r="E193" i="3"/>
  <c r="E173" i="3"/>
  <c r="E133" i="3"/>
  <c r="E105" i="3"/>
  <c r="E369" i="3"/>
  <c r="E330" i="3"/>
  <c r="E393" i="3"/>
  <c r="E519" i="3"/>
  <c r="E525" i="3"/>
  <c r="K6" i="3"/>
  <c r="E493" i="3"/>
  <c r="E532" i="3"/>
  <c r="E534" i="3"/>
  <c r="Q6" i="3"/>
  <c r="E564" i="3"/>
  <c r="E573" i="3"/>
  <c r="T6" i="3"/>
  <c r="E560" i="3"/>
  <c r="E543" i="3"/>
  <c r="E529" i="3"/>
  <c r="E405" i="3"/>
  <c r="E437" i="3"/>
  <c r="E427" i="3"/>
  <c r="E458" i="3"/>
  <c r="E456" i="3"/>
  <c r="E472" i="3"/>
  <c r="E486" i="3"/>
  <c r="E474" i="3"/>
  <c r="E313" i="3"/>
  <c r="E213" i="3"/>
  <c r="E224" i="3"/>
  <c r="E237" i="3"/>
  <c r="E245" i="3"/>
  <c r="F28" i="12"/>
  <c r="C29" i="12" s="1"/>
  <c r="D28" i="12" s="1"/>
  <c r="E410" i="3"/>
  <c r="E574" i="3"/>
  <c r="E555" i="3"/>
  <c r="O6" i="3"/>
  <c r="E388" i="3"/>
  <c r="E328" i="3"/>
  <c r="E508" i="3"/>
  <c r="E426" i="3"/>
  <c r="E305" i="3"/>
  <c r="E153" i="3"/>
  <c r="E343" i="3"/>
  <c r="E501" i="3"/>
  <c r="E223" i="3"/>
  <c r="E238" i="3"/>
  <c r="E246" i="3"/>
  <c r="C36" i="69"/>
  <c r="E29" i="6"/>
  <c r="K15" i="1" s="1"/>
  <c r="F30" i="6"/>
  <c r="G30" i="6"/>
  <c r="G31" i="6" s="1"/>
  <c r="E28" i="6"/>
  <c r="F27" i="11"/>
  <c r="E59" i="40"/>
  <c r="AZ180" i="3"/>
  <c r="AZ164" i="3"/>
  <c r="AZ131" i="3"/>
  <c r="AZ123" i="3"/>
  <c r="AZ116" i="3"/>
  <c r="BA303" i="3"/>
  <c r="BL308" i="3"/>
  <c r="AZ308" i="3" s="1"/>
  <c r="BA315" i="3"/>
  <c r="AZ315" i="3" s="1"/>
  <c r="BA317" i="3"/>
  <c r="AZ317" i="3" s="1"/>
  <c r="BL317" i="3"/>
  <c r="BA323" i="3"/>
  <c r="AZ323" i="3" s="1"/>
  <c r="BL328" i="3"/>
  <c r="BL332" i="3"/>
  <c r="BA209" i="3"/>
  <c r="BL209" i="3"/>
  <c r="AZ209" i="3" s="1"/>
  <c r="BA210" i="3"/>
  <c r="BL213" i="3"/>
  <c r="BA214" i="3"/>
  <c r="AZ214" i="3" s="1"/>
  <c r="BL217" i="3"/>
  <c r="BA218" i="3"/>
  <c r="AZ218" i="3" s="1"/>
  <c r="BA221" i="3"/>
  <c r="BL221" i="3"/>
  <c r="BL225" i="3"/>
  <c r="BL229" i="3"/>
  <c r="BL233" i="3"/>
  <c r="BA234" i="3"/>
  <c r="AZ234" i="3" s="1"/>
  <c r="BA237" i="3"/>
  <c r="AZ237" i="3" s="1"/>
  <c r="BL237" i="3"/>
  <c r="BL241" i="3"/>
  <c r="BL245" i="3"/>
  <c r="BL249" i="3"/>
  <c r="BA250" i="3"/>
  <c r="AZ250" i="3" s="1"/>
  <c r="BA253" i="3"/>
  <c r="BL253" i="3"/>
  <c r="BL258" i="3"/>
  <c r="BA259" i="3"/>
  <c r="AZ259" i="3" s="1"/>
  <c r="BA262" i="3"/>
  <c r="AZ262" i="3" s="1"/>
  <c r="BA265" i="3"/>
  <c r="BL265" i="3"/>
  <c r="BL268" i="3"/>
  <c r="BA269" i="3"/>
  <c r="AZ269" i="3" s="1"/>
  <c r="BA272" i="3"/>
  <c r="AZ272" i="3" s="1"/>
  <c r="BA275" i="3"/>
  <c r="AZ275" i="3" s="1"/>
  <c r="BL275" i="3"/>
  <c r="BA276" i="3"/>
  <c r="AZ276" i="3" s="1"/>
  <c r="BL279" i="3"/>
  <c r="BA280" i="3"/>
  <c r="AZ280" i="3" s="1"/>
  <c r="BA283" i="3"/>
  <c r="BL283" i="3"/>
  <c r="BA284" i="3"/>
  <c r="AZ284" i="3" s="1"/>
  <c r="BA287" i="3"/>
  <c r="AZ287" i="3" s="1"/>
  <c r="BL287" i="3"/>
  <c r="BA291" i="3"/>
  <c r="AZ291" i="3" s="1"/>
  <c r="BL291" i="3"/>
  <c r="BA292" i="3"/>
  <c r="AZ292" i="3" s="1"/>
  <c r="BL295" i="3"/>
  <c r="BA296" i="3"/>
  <c r="AZ296" i="3" s="1"/>
  <c r="BA299" i="3"/>
  <c r="BL299" i="3"/>
  <c r="BA300" i="3"/>
  <c r="AZ300" i="3" s="1"/>
  <c r="BL114" i="3"/>
  <c r="BL115" i="3"/>
  <c r="BA122" i="3"/>
  <c r="BL122" i="3"/>
  <c r="BL130" i="3"/>
  <c r="BL131" i="3"/>
  <c r="BL138" i="3"/>
  <c r="BL139" i="3"/>
  <c r="AZ139" i="3" s="1"/>
  <c r="BA141" i="3"/>
  <c r="AZ141" i="3" s="1"/>
  <c r="BL146" i="3"/>
  <c r="BL147" i="3"/>
  <c r="AZ147" i="3" s="1"/>
  <c r="BA154" i="3"/>
  <c r="BL154" i="3"/>
  <c r="BA157" i="3"/>
  <c r="AZ157" i="3" s="1"/>
  <c r="BL162" i="3"/>
  <c r="BL163" i="3"/>
  <c r="BA170" i="3"/>
  <c r="AZ170" i="3" s="1"/>
  <c r="BL170" i="3"/>
  <c r="BA173" i="3"/>
  <c r="AZ173" i="3" s="1"/>
  <c r="BL178" i="3"/>
  <c r="BL179" i="3"/>
  <c r="E66" i="39"/>
  <c r="AZ13" i="3"/>
  <c r="AZ344" i="3"/>
  <c r="AZ342" i="3"/>
  <c r="AZ329" i="3"/>
  <c r="AZ179" i="3"/>
  <c r="AZ171" i="3"/>
  <c r="AZ163" i="3"/>
  <c r="AZ155" i="3"/>
  <c r="AZ148" i="3"/>
  <c r="AZ140" i="3"/>
  <c r="AZ132" i="3"/>
  <c r="AZ115" i="3"/>
  <c r="BA186" i="3"/>
  <c r="AZ186" i="3" s="1"/>
  <c r="BL186" i="3"/>
  <c r="BA189" i="3"/>
  <c r="AZ189" i="3" s="1"/>
  <c r="BL194" i="3"/>
  <c r="BA197" i="3"/>
  <c r="AZ197" i="3" s="1"/>
  <c r="BL197" i="3"/>
  <c r="BA201" i="3"/>
  <c r="AZ201" i="3" s="1"/>
  <c r="BL201" i="3"/>
  <c r="BL206" i="3"/>
  <c r="BA207" i="3"/>
  <c r="AZ207" i="3" s="1"/>
  <c r="BL20" i="3"/>
  <c r="BA21" i="3"/>
  <c r="AZ21" i="3" s="1"/>
  <c r="BL24" i="3"/>
  <c r="BL28" i="3"/>
  <c r="BA29" i="3"/>
  <c r="AZ29" i="3" s="1"/>
  <c r="BL34" i="3"/>
  <c r="BA35" i="3"/>
  <c r="AZ35" i="3" s="1"/>
  <c r="BL38" i="3"/>
  <c r="BA39" i="3"/>
  <c r="AZ39" i="3" s="1"/>
  <c r="BL42" i="3"/>
  <c r="BA43" i="3"/>
  <c r="AZ43" i="3" s="1"/>
  <c r="BL46" i="3"/>
  <c r="BA47" i="3"/>
  <c r="AZ47" i="3" s="1"/>
  <c r="BL50" i="3"/>
  <c r="BA51" i="3"/>
  <c r="AZ51" i="3" s="1"/>
  <c r="BL54" i="3"/>
  <c r="BA55" i="3"/>
  <c r="AZ55" i="3" s="1"/>
  <c r="BL58" i="3"/>
  <c r="BA59" i="3"/>
  <c r="AZ59" i="3" s="1"/>
  <c r="BL62" i="3"/>
  <c r="BA63" i="3"/>
  <c r="AZ63" i="3" s="1"/>
  <c r="BL66" i="3"/>
  <c r="BA67" i="3"/>
  <c r="AZ67" i="3" s="1"/>
  <c r="BL70" i="3"/>
  <c r="BA71" i="3"/>
  <c r="AZ71" i="3" s="1"/>
  <c r="BA74" i="3"/>
  <c r="BL74" i="3"/>
  <c r="BA78" i="3"/>
  <c r="BL78" i="3"/>
  <c r="BL82" i="3"/>
  <c r="BA83" i="3"/>
  <c r="AZ83" i="3" s="1"/>
  <c r="BL86" i="3"/>
  <c r="BA87" i="3"/>
  <c r="AZ87" i="3" s="1"/>
  <c r="BA91" i="3"/>
  <c r="BL91" i="3"/>
  <c r="AZ91" i="3" s="1"/>
  <c r="BA92" i="3"/>
  <c r="BL92" i="3"/>
  <c r="BA93" i="3"/>
  <c r="BL93" i="3"/>
  <c r="BA94" i="3"/>
  <c r="BL94" i="3"/>
  <c r="BA98" i="3"/>
  <c r="BL98" i="3"/>
  <c r="AZ98" i="3" s="1"/>
  <c r="BA99" i="3"/>
  <c r="AZ99" i="3" s="1"/>
  <c r="BL103" i="3"/>
  <c r="BL107" i="3"/>
  <c r="BA108" i="3"/>
  <c r="AZ108" i="3" s="1"/>
  <c r="O12" i="1"/>
  <c r="P12" i="1" s="1"/>
  <c r="P7" i="1"/>
  <c r="AR7" i="1"/>
  <c r="D102" i="43"/>
  <c r="D106" i="43"/>
  <c r="D105" i="43"/>
  <c r="I105" i="43"/>
  <c r="I107" i="43"/>
  <c r="I104" i="43"/>
  <c r="T13" i="1"/>
  <c r="AR11" i="1"/>
  <c r="D19" i="12"/>
  <c r="C19" i="12" s="1"/>
  <c r="T11" i="1"/>
  <c r="F31" i="6"/>
  <c r="AZ313" i="3"/>
  <c r="AZ303" i="3"/>
  <c r="BL314" i="3"/>
  <c r="AZ314" i="3" s="1"/>
  <c r="BA316" i="3"/>
  <c r="AZ316" i="3" s="1"/>
  <c r="BA319" i="3"/>
  <c r="AZ319" i="3" s="1"/>
  <c r="BL324" i="3"/>
  <c r="AZ324" i="3" s="1"/>
  <c r="BL330" i="3"/>
  <c r="AZ330" i="3" s="1"/>
  <c r="BA332" i="3"/>
  <c r="BA335" i="3"/>
  <c r="AZ335" i="3" s="1"/>
  <c r="BL340" i="3"/>
  <c r="AZ340" i="3" s="1"/>
  <c r="BL208" i="3"/>
  <c r="BA213" i="3"/>
  <c r="BA215" i="3"/>
  <c r="AZ215" i="3" s="1"/>
  <c r="BL216" i="3"/>
  <c r="BA217" i="3"/>
  <c r="AZ217" i="3" s="1"/>
  <c r="BL222" i="3"/>
  <c r="AZ222" i="3" s="1"/>
  <c r="BL224" i="3"/>
  <c r="AZ224" i="3" s="1"/>
  <c r="BA225" i="3"/>
  <c r="BL226" i="3"/>
  <c r="BA229" i="3"/>
  <c r="AZ229" i="3" s="1"/>
  <c r="BL230" i="3"/>
  <c r="BA231" i="3"/>
  <c r="AZ231" i="3" s="1"/>
  <c r="BA233" i="3"/>
  <c r="AZ233" i="3" s="1"/>
  <c r="BA235" i="3"/>
  <c r="AZ235" i="3" s="1"/>
  <c r="BL236" i="3"/>
  <c r="AZ236" i="3" s="1"/>
  <c r="BL238" i="3"/>
  <c r="AZ238" i="3" s="1"/>
  <c r="BA239" i="3"/>
  <c r="AZ239" i="3" s="1"/>
  <c r="BA241" i="3"/>
  <c r="BL242" i="3"/>
  <c r="AZ242" i="3" s="1"/>
  <c r="BA245" i="3"/>
  <c r="AZ245" i="3" s="1"/>
  <c r="BL246" i="3"/>
  <c r="AZ246" i="3" s="1"/>
  <c r="BA247" i="3"/>
  <c r="AZ247" i="3" s="1"/>
  <c r="BA249" i="3"/>
  <c r="AZ249" i="3" s="1"/>
  <c r="BA251" i="3"/>
  <c r="AZ251" i="3" s="1"/>
  <c r="BL252" i="3"/>
  <c r="AZ252" i="3" s="1"/>
  <c r="BL254" i="3"/>
  <c r="AZ254" i="3" s="1"/>
  <c r="BA255" i="3"/>
  <c r="AZ255" i="3" s="1"/>
  <c r="BL257" i="3"/>
  <c r="AZ257" i="3" s="1"/>
  <c r="BA258" i="3"/>
  <c r="AZ258" i="3" s="1"/>
  <c r="BL261" i="3"/>
  <c r="AZ261" i="3" s="1"/>
  <c r="BA263" i="3"/>
  <c r="AZ263" i="3" s="1"/>
  <c r="BL264" i="3"/>
  <c r="BL266" i="3"/>
  <c r="AZ266" i="3" s="1"/>
  <c r="BA268" i="3"/>
  <c r="AZ268" i="3" s="1"/>
  <c r="BL271" i="3"/>
  <c r="AZ271" i="3" s="1"/>
  <c r="BA273" i="3"/>
  <c r="AZ273" i="3" s="1"/>
  <c r="BL274" i="3"/>
  <c r="AZ274" i="3" s="1"/>
  <c r="BA279" i="3"/>
  <c r="AZ279" i="3" s="1"/>
  <c r="BA281" i="3"/>
  <c r="AZ281" i="3" s="1"/>
  <c r="BL282" i="3"/>
  <c r="BL286" i="3"/>
  <c r="AZ286" i="3" s="1"/>
  <c r="BL288" i="3"/>
  <c r="AZ288" i="3" s="1"/>
  <c r="BA289" i="3"/>
  <c r="AZ289" i="3" s="1"/>
  <c r="BL290" i="3"/>
  <c r="BA295" i="3"/>
  <c r="AZ295" i="3" s="1"/>
  <c r="BA297" i="3"/>
  <c r="AZ297" i="3" s="1"/>
  <c r="BL298" i="3"/>
  <c r="AZ298" i="3" s="1"/>
  <c r="BA114" i="3"/>
  <c r="BL117" i="3"/>
  <c r="AZ117" i="3" s="1"/>
  <c r="BA118" i="3"/>
  <c r="AZ118" i="3" s="1"/>
  <c r="BA124" i="3"/>
  <c r="AZ124" i="3" s="1"/>
  <c r="BL125" i="3"/>
  <c r="BA126" i="3"/>
  <c r="AZ126" i="3" s="1"/>
  <c r="BA130" i="3"/>
  <c r="BL133" i="3"/>
  <c r="AZ133" i="3" s="1"/>
  <c r="BA134" i="3"/>
  <c r="AZ134" i="3" s="1"/>
  <c r="BA138" i="3"/>
  <c r="AZ138" i="3" s="1"/>
  <c r="BA142" i="3"/>
  <c r="AZ142" i="3" s="1"/>
  <c r="BA146" i="3"/>
  <c r="AZ146" i="3" s="1"/>
  <c r="BL149" i="3"/>
  <c r="AZ149" i="3" s="1"/>
  <c r="BA152" i="3"/>
  <c r="AZ152" i="3" s="1"/>
  <c r="BL153" i="3"/>
  <c r="BA156" i="3"/>
  <c r="AZ156" i="3" s="1"/>
  <c r="BA158" i="3"/>
  <c r="AZ158" i="3" s="1"/>
  <c r="BA162" i="3"/>
  <c r="AZ162" i="3" s="1"/>
  <c r="BL165" i="3"/>
  <c r="AZ165" i="3" s="1"/>
  <c r="BA168" i="3"/>
  <c r="AZ168" i="3" s="1"/>
  <c r="BL169" i="3"/>
  <c r="BA172" i="3"/>
  <c r="AZ172" i="3" s="1"/>
  <c r="BA174" i="3"/>
  <c r="AZ174" i="3" s="1"/>
  <c r="BA178" i="3"/>
  <c r="AZ178" i="3" s="1"/>
  <c r="BL181" i="3"/>
  <c r="AZ181" i="3" s="1"/>
  <c r="BA184" i="3"/>
  <c r="AZ184" i="3" s="1"/>
  <c r="BL185" i="3"/>
  <c r="BA188" i="3"/>
  <c r="AZ188" i="3" s="1"/>
  <c r="BA190" i="3"/>
  <c r="AZ190" i="3" s="1"/>
  <c r="BA194" i="3"/>
  <c r="AZ194" i="3" s="1"/>
  <c r="BA307" i="3"/>
  <c r="AZ307" i="3" s="1"/>
  <c r="BL312" i="3"/>
  <c r="AZ312" i="3" s="1"/>
  <c r="AZ328" i="3"/>
  <c r="AZ333" i="3"/>
  <c r="AZ339" i="3"/>
  <c r="AZ208" i="3"/>
  <c r="AZ216" i="3"/>
  <c r="AZ223" i="3"/>
  <c r="AZ226" i="3"/>
  <c r="AZ227" i="3"/>
  <c r="AZ230" i="3"/>
  <c r="AZ243" i="3"/>
  <c r="AZ253" i="3"/>
  <c r="AZ282" i="3"/>
  <c r="AZ290" i="3"/>
  <c r="AZ125" i="3"/>
  <c r="AZ153" i="3"/>
  <c r="AZ169" i="3"/>
  <c r="AZ185" i="3"/>
  <c r="BL198" i="3"/>
  <c r="AZ198" i="3" s="1"/>
  <c r="BL202" i="3"/>
  <c r="AZ202" i="3" s="1"/>
  <c r="BA206" i="3"/>
  <c r="AZ206" i="3" s="1"/>
  <c r="BA18" i="3"/>
  <c r="AZ18" i="3" s="1"/>
  <c r="BA20" i="3"/>
  <c r="AZ20" i="3" s="1"/>
  <c r="BA24" i="3"/>
  <c r="BL25" i="3"/>
  <c r="BA28" i="3"/>
  <c r="AZ28" i="3" s="1"/>
  <c r="BL33" i="3"/>
  <c r="AZ33" i="3" s="1"/>
  <c r="BA34" i="3"/>
  <c r="AZ34" i="3" s="1"/>
  <c r="BL37" i="3"/>
  <c r="AZ37" i="3" s="1"/>
  <c r="BA38" i="3"/>
  <c r="AZ38" i="3" s="1"/>
  <c r="BA42" i="3"/>
  <c r="AZ42" i="3" s="1"/>
  <c r="BL45" i="3"/>
  <c r="AZ45" i="3" s="1"/>
  <c r="BA46" i="3"/>
  <c r="AZ46" i="3" s="1"/>
  <c r="BA50" i="3"/>
  <c r="AZ50" i="3" s="1"/>
  <c r="BL53" i="3"/>
  <c r="AZ53" i="3" s="1"/>
  <c r="BA54" i="3"/>
  <c r="AZ54" i="3" s="1"/>
  <c r="BA58" i="3"/>
  <c r="AZ58" i="3" s="1"/>
  <c r="BL61" i="3"/>
  <c r="AZ61" i="3" s="1"/>
  <c r="BA62" i="3"/>
  <c r="AZ62" i="3" s="1"/>
  <c r="BA66" i="3"/>
  <c r="AZ66" i="3" s="1"/>
  <c r="BL69" i="3"/>
  <c r="AZ69" i="3" s="1"/>
  <c r="BA70" i="3"/>
  <c r="AZ70" i="3" s="1"/>
  <c r="BA72" i="3"/>
  <c r="AZ72" i="3" s="1"/>
  <c r="BL73" i="3"/>
  <c r="BL75" i="3"/>
  <c r="AZ75" i="3" s="1"/>
  <c r="BA76" i="3"/>
  <c r="AZ76" i="3" s="1"/>
  <c r="BL79" i="3"/>
  <c r="AZ79" i="3" s="1"/>
  <c r="BA82" i="3"/>
  <c r="AZ82" i="3" s="1"/>
  <c r="BA84" i="3"/>
  <c r="AZ84" i="3" s="1"/>
  <c r="BA86" i="3"/>
  <c r="AZ86" i="3" s="1"/>
  <c r="AZ92" i="3"/>
  <c r="BL95" i="3"/>
  <c r="AZ95" i="3" s="1"/>
  <c r="BA96" i="3"/>
  <c r="AZ96" i="3" s="1"/>
  <c r="AZ25" i="3"/>
  <c r="BL30" i="3"/>
  <c r="AZ30" i="3" s="1"/>
  <c r="BL100" i="3"/>
  <c r="AZ100" i="3" s="1"/>
  <c r="BL102" i="3"/>
  <c r="AZ102" i="3" s="1"/>
  <c r="BA103" i="3"/>
  <c r="AZ103" i="3" s="1"/>
  <c r="BL104" i="3"/>
  <c r="AZ104" i="3" s="1"/>
  <c r="BA107" i="3"/>
  <c r="AZ107" i="3" s="1"/>
  <c r="BA109" i="3"/>
  <c r="AZ109" i="3" s="1"/>
  <c r="P6" i="1"/>
  <c r="P9" i="1"/>
  <c r="O9" i="1"/>
  <c r="P8" i="1"/>
  <c r="O8" i="1"/>
  <c r="AZ211" i="3"/>
  <c r="AZ219" i="3"/>
  <c r="AZ221" i="3"/>
  <c r="O11" i="1"/>
  <c r="P11" i="1"/>
  <c r="AZ210" i="3"/>
  <c r="BA5" i="3"/>
  <c r="E27" i="6" s="1"/>
  <c r="E56" i="40"/>
  <c r="AZ264" i="3"/>
  <c r="AZ277" i="3"/>
  <c r="AZ285" i="3"/>
  <c r="AZ293" i="3"/>
  <c r="AZ301" i="3"/>
  <c r="AZ122" i="3"/>
  <c r="AZ22" i="3"/>
  <c r="AZ36" i="3"/>
  <c r="AZ40" i="3"/>
  <c r="AZ44" i="3"/>
  <c r="AZ48" i="3"/>
  <c r="AZ52" i="3"/>
  <c r="AZ56" i="3"/>
  <c r="AZ78" i="3"/>
  <c r="AZ73" i="3"/>
  <c r="H87" i="43"/>
  <c r="H86" i="43"/>
  <c r="H50" i="43"/>
  <c r="K56" i="9"/>
  <c r="D10" i="52"/>
  <c r="D125" i="9"/>
  <c r="D11" i="52" s="1"/>
  <c r="H14" i="74"/>
  <c r="B7" i="74" s="1"/>
  <c r="H111" i="9"/>
  <c r="D17" i="53"/>
  <c r="B36" i="72" s="1"/>
  <c r="C29" i="69"/>
  <c r="D27" i="69" s="1"/>
  <c r="J68" i="39"/>
  <c r="H70" i="39"/>
  <c r="G65" i="40"/>
  <c r="H63" i="40"/>
  <c r="I52" i="33"/>
  <c r="J52" i="33" s="1"/>
  <c r="I58" i="21"/>
  <c r="J58" i="21" s="1"/>
  <c r="K58" i="21" s="1"/>
  <c r="L58" i="21" s="1"/>
  <c r="M58" i="21" s="1"/>
  <c r="N58" i="21" s="1"/>
  <c r="O58" i="21" s="1"/>
  <c r="F59" i="34"/>
  <c r="G59" i="34" s="1"/>
  <c r="H59" i="34" s="1"/>
  <c r="I59" i="34" s="1"/>
  <c r="J59" i="34" s="1"/>
  <c r="K59" i="34" s="1"/>
  <c r="L59" i="34" s="1"/>
  <c r="M59" i="34" s="1"/>
  <c r="N59" i="34" s="1"/>
  <c r="O59" i="34" s="1"/>
  <c r="F7" i="34"/>
  <c r="H7" i="34"/>
  <c r="AB7" i="33"/>
  <c r="T48" i="33" s="1"/>
  <c r="G48" i="33" s="1"/>
  <c r="U7" i="33"/>
  <c r="D46" i="36"/>
  <c r="H7" i="21"/>
  <c r="F7" i="21"/>
  <c r="S7" i="33"/>
  <c r="AA7" i="33"/>
  <c r="R48" i="33" s="1"/>
  <c r="D48" i="35"/>
  <c r="D52" i="37"/>
  <c r="K4" i="4"/>
  <c r="B46" i="48" s="1"/>
  <c r="B4" i="72" s="1"/>
  <c r="B4" i="62"/>
  <c r="B71" i="72" s="1"/>
  <c r="E20" i="43"/>
  <c r="K1" i="73"/>
  <c r="B11" i="70"/>
  <c r="F66" i="67"/>
  <c r="F65" i="15"/>
  <c r="C27" i="15"/>
  <c r="F65" i="67"/>
  <c r="C6" i="15"/>
  <c r="B9" i="70"/>
  <c r="N59" i="15"/>
  <c r="M59" i="15"/>
  <c r="L58" i="15"/>
  <c r="L59" i="15"/>
  <c r="I1" i="73"/>
  <c r="B39" i="1" s="1"/>
  <c r="B10" i="70"/>
  <c r="M59" i="67"/>
  <c r="L58" i="67"/>
  <c r="L59" i="67"/>
  <c r="N59" i="67"/>
  <c r="F69" i="67"/>
  <c r="B8" i="70"/>
  <c r="F51" i="67"/>
  <c r="F71" i="67"/>
  <c r="J53" i="15"/>
  <c r="L56" i="15" s="1"/>
  <c r="J57" i="15"/>
  <c r="J55" i="15" s="1"/>
  <c r="J58" i="15" s="1"/>
  <c r="Q50" i="15" s="1"/>
  <c r="I54" i="15"/>
  <c r="J53" i="67"/>
  <c r="I54" i="67"/>
  <c r="J57" i="67"/>
  <c r="J55" i="67" s="1"/>
  <c r="J58" i="67" s="1"/>
  <c r="Q50" i="67" s="1"/>
  <c r="L56" i="67"/>
  <c r="F66" i="15"/>
  <c r="F50" i="15"/>
  <c r="M7" i="15"/>
  <c r="Q71" i="67"/>
  <c r="B13" i="70"/>
  <c r="M7" i="67"/>
  <c r="J6" i="67" s="1"/>
  <c r="F50" i="67"/>
  <c r="Q71" i="15"/>
  <c r="F64" i="15"/>
  <c r="C34" i="67"/>
  <c r="F63" i="67"/>
  <c r="C62" i="67" s="1"/>
  <c r="J20" i="67"/>
  <c r="F70" i="67"/>
  <c r="F68" i="67"/>
  <c r="F51" i="15"/>
  <c r="C6" i="67"/>
  <c r="B12" i="70"/>
  <c r="F64" i="67"/>
  <c r="F71" i="15"/>
  <c r="B20" i="31"/>
  <c r="B7" i="70"/>
  <c r="F68" i="15"/>
  <c r="C27" i="67"/>
  <c r="F59" i="15"/>
  <c r="F59" i="67"/>
  <c r="M17" i="15"/>
  <c r="M17" i="67"/>
  <c r="C14" i="15"/>
  <c r="C16" i="15"/>
  <c r="G1" i="73"/>
  <c r="C17" i="15"/>
  <c r="F27" i="68"/>
  <c r="C14" i="67"/>
  <c r="C36" i="68"/>
  <c r="C16" i="67"/>
  <c r="C17" i="67"/>
  <c r="D9" i="68"/>
  <c r="C5" i="43" l="1"/>
  <c r="W27" i="34"/>
  <c r="AC27" i="34"/>
  <c r="AA27" i="34"/>
  <c r="S27" i="34"/>
  <c r="AB25" i="34"/>
  <c r="U25" i="34"/>
  <c r="AC25" i="34"/>
  <c r="W25" i="34"/>
  <c r="S25" i="34"/>
  <c r="AA25" i="34"/>
  <c r="U37" i="34"/>
  <c r="AB37" i="34"/>
  <c r="AC37" i="34"/>
  <c r="W37" i="34"/>
  <c r="AA37" i="34"/>
  <c r="S37" i="34"/>
  <c r="E59" i="43"/>
  <c r="B57" i="43" s="1"/>
  <c r="C24" i="43" s="1"/>
  <c r="M109" i="43"/>
  <c r="M102" i="43"/>
  <c r="M106" i="43"/>
  <c r="M103" i="43"/>
  <c r="M104" i="43"/>
  <c r="M107" i="43"/>
  <c r="M105" i="43"/>
  <c r="L109" i="43"/>
  <c r="L102" i="43"/>
  <c r="L105" i="43"/>
  <c r="L104" i="43"/>
  <c r="L106" i="43"/>
  <c r="L107" i="43"/>
  <c r="L103" i="43"/>
  <c r="C104" i="43"/>
  <c r="C107" i="43"/>
  <c r="C103" i="43"/>
  <c r="C109" i="43"/>
  <c r="C106" i="43"/>
  <c r="C105" i="43"/>
  <c r="C102" i="43"/>
  <c r="F104" i="43"/>
  <c r="F102" i="43"/>
  <c r="F105" i="43"/>
  <c r="F107" i="43"/>
  <c r="F106" i="43"/>
  <c r="F103" i="43"/>
  <c r="F109" i="43"/>
  <c r="I109" i="43"/>
  <c r="I102" i="43"/>
  <c r="I103" i="43"/>
  <c r="I106" i="43"/>
  <c r="G105" i="43"/>
  <c r="G107" i="43"/>
  <c r="G104" i="43"/>
  <c r="G106" i="43"/>
  <c r="G109" i="43"/>
  <c r="G102" i="43"/>
  <c r="G103" i="43"/>
  <c r="K103" i="43"/>
  <c r="K102" i="43"/>
  <c r="K105" i="43"/>
  <c r="K107" i="43"/>
  <c r="K104" i="43"/>
  <c r="K106" i="43"/>
  <c r="K109" i="43"/>
  <c r="E102" i="43"/>
  <c r="E106" i="43"/>
  <c r="E103" i="43"/>
  <c r="E109" i="43"/>
  <c r="E104" i="43"/>
  <c r="E107" i="43"/>
  <c r="E105" i="43"/>
  <c r="H102" i="43"/>
  <c r="H103" i="43"/>
  <c r="H104" i="43"/>
  <c r="H107" i="43"/>
  <c r="H106" i="43"/>
  <c r="H105" i="43"/>
  <c r="H109" i="43"/>
  <c r="B115" i="43"/>
  <c r="D117" i="43"/>
  <c r="E117" i="43" s="1"/>
  <c r="F117" i="43" s="1"/>
  <c r="G117" i="43" s="1"/>
  <c r="H117" i="43" s="1"/>
  <c r="D116" i="43"/>
  <c r="E116" i="43" s="1"/>
  <c r="F116" i="43" s="1"/>
  <c r="G116" i="43" s="1"/>
  <c r="H116" i="43" s="1"/>
  <c r="G118" i="43"/>
  <c r="H118" i="43" s="1"/>
  <c r="B118" i="43"/>
  <c r="C118" i="43" s="1"/>
  <c r="I116" i="43"/>
  <c r="J116" i="43" s="1"/>
  <c r="K116" i="43" s="1"/>
  <c r="L116" i="43" s="1"/>
  <c r="M116"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22" i="43"/>
  <c r="D109" i="43"/>
  <c r="D104" i="43"/>
  <c r="D103" i="43"/>
  <c r="D107" i="43"/>
  <c r="J104" i="43"/>
  <c r="J105" i="43"/>
  <c r="J107" i="43"/>
  <c r="J102" i="43"/>
  <c r="J103" i="43"/>
  <c r="J106" i="43"/>
  <c r="J109" i="43"/>
  <c r="N102" i="43"/>
  <c r="N105" i="43"/>
  <c r="N104" i="43"/>
  <c r="N103" i="43"/>
  <c r="N106" i="43"/>
  <c r="N107" i="43"/>
  <c r="N109" i="43"/>
  <c r="C9" i="68"/>
  <c r="C29" i="68"/>
  <c r="D27" i="68" s="1"/>
  <c r="C47" i="68"/>
  <c r="D45" i="68" s="1"/>
  <c r="H6" i="3"/>
  <c r="E6" i="3" s="1"/>
  <c r="AZ24" i="3"/>
  <c r="AZ130" i="3"/>
  <c r="AZ114" i="3"/>
  <c r="AZ241" i="3"/>
  <c r="AZ225" i="3"/>
  <c r="AZ213" i="3"/>
  <c r="AZ332" i="3"/>
  <c r="AZ94" i="3"/>
  <c r="AZ93" i="3"/>
  <c r="AZ74" i="3"/>
  <c r="AZ154" i="3"/>
  <c r="AZ299" i="3"/>
  <c r="AZ283" i="3"/>
  <c r="AZ265" i="3"/>
  <c r="K14" i="1"/>
  <c r="E30" i="6"/>
  <c r="C47" i="11"/>
  <c r="D45" i="11" s="1"/>
  <c r="C29" i="11"/>
  <c r="D27" i="11" s="1"/>
  <c r="BL5" i="3"/>
  <c r="C15" i="15"/>
  <c r="C18" i="15"/>
  <c r="E31" i="6"/>
  <c r="K21" i="6"/>
  <c r="M21" i="6" s="1"/>
  <c r="I21" i="6" s="1"/>
  <c r="S21" i="6" s="1"/>
  <c r="K22" i="6"/>
  <c r="M22" i="6" s="1"/>
  <c r="I22" i="6" s="1"/>
  <c r="S22" i="6" s="1"/>
  <c r="K25" i="6"/>
  <c r="M25" i="6" s="1"/>
  <c r="I25" i="6" s="1"/>
  <c r="S25" i="6" s="1"/>
  <c r="K23" i="6"/>
  <c r="M23" i="6" s="1"/>
  <c r="I23" i="6" s="1"/>
  <c r="S23" i="6" s="1"/>
  <c r="K20" i="6"/>
  <c r="M20" i="6" s="1"/>
  <c r="I20" i="6" s="1"/>
  <c r="S20" i="6" s="1"/>
  <c r="K24" i="6"/>
  <c r="M24" i="6" s="1"/>
  <c r="I24" i="6" s="1"/>
  <c r="S24" i="6" s="1"/>
  <c r="K26" i="6"/>
  <c r="M26" i="6" s="1"/>
  <c r="I26" i="6" s="1"/>
  <c r="S26" i="6" s="1"/>
  <c r="K19" i="6"/>
  <c r="S6" i="1" s="1"/>
  <c r="D19" i="53"/>
  <c r="D126" i="9"/>
  <c r="E52" i="37"/>
  <c r="R49" i="33"/>
  <c r="E48" i="33"/>
  <c r="S7" i="21"/>
  <c r="AA7" i="21"/>
  <c r="R48" i="21" s="1"/>
  <c r="U7" i="34"/>
  <c r="AB7" i="34"/>
  <c r="T49" i="34" s="1"/>
  <c r="G49" i="34" s="1"/>
  <c r="J7" i="34"/>
  <c r="J7" i="21"/>
  <c r="H65" i="40"/>
  <c r="I63" i="40"/>
  <c r="K68" i="39"/>
  <c r="J70" i="39"/>
  <c r="E48" i="35"/>
  <c r="AB7" i="21"/>
  <c r="T48" i="21" s="1"/>
  <c r="G48" i="21" s="1"/>
  <c r="U7" i="21"/>
  <c r="E46" i="36"/>
  <c r="F46" i="36" s="1"/>
  <c r="G46" i="36" s="1"/>
  <c r="H46" i="36" s="1"/>
  <c r="I46" i="36" s="1"/>
  <c r="J46" i="36" s="1"/>
  <c r="K46" i="36" s="1"/>
  <c r="L46" i="36" s="1"/>
  <c r="M46" i="36" s="1"/>
  <c r="N46" i="36" s="1"/>
  <c r="O46" i="36" s="1"/>
  <c r="J7" i="36"/>
  <c r="F7" i="36"/>
  <c r="G53" i="33"/>
  <c r="H53" i="33" s="1"/>
  <c r="G52" i="33"/>
  <c r="H52" i="33" s="1"/>
  <c r="S7" i="34"/>
  <c r="AA7" i="34"/>
  <c r="C18" i="67"/>
  <c r="C15" i="67"/>
  <c r="B40" i="1"/>
  <c r="J18" i="67"/>
  <c r="C32" i="67"/>
  <c r="Q52" i="67"/>
  <c r="F1" i="67"/>
  <c r="Q52" i="15"/>
  <c r="F1" i="15"/>
  <c r="Q74" i="67"/>
  <c r="Q61" i="67"/>
  <c r="Q61" i="15"/>
  <c r="Q74" i="15"/>
  <c r="C32" i="15"/>
  <c r="C49" i="67"/>
  <c r="Q73" i="67"/>
  <c r="Q60" i="67"/>
  <c r="M11" i="15"/>
  <c r="F11" i="15"/>
  <c r="F11" i="67"/>
  <c r="M11" i="67"/>
  <c r="J10" i="67" s="1"/>
  <c r="J5" i="67" s="1"/>
  <c r="Q73" i="15"/>
  <c r="Q60" i="15"/>
  <c r="P28" i="43"/>
  <c r="N28" i="43"/>
  <c r="G20" i="43" s="1"/>
  <c r="H6" i="1" s="1"/>
  <c r="M28" i="43"/>
  <c r="O28" i="43"/>
  <c r="AE6" i="1"/>
  <c r="F41" i="15"/>
  <c r="R49" i="34" l="1"/>
  <c r="E49" i="34" s="1"/>
  <c r="G6" i="1"/>
  <c r="G16" i="1" s="1"/>
  <c r="H16" i="1"/>
  <c r="AG6" i="1"/>
  <c r="F69" i="15"/>
  <c r="E41" i="43"/>
  <c r="C41" i="43" s="1"/>
  <c r="C20" i="43"/>
  <c r="C115" i="43"/>
  <c r="D113" i="43"/>
  <c r="C19" i="15"/>
  <c r="C20" i="15" s="1"/>
  <c r="C26" i="15" s="1"/>
  <c r="AQ6" i="1"/>
  <c r="AR6" i="1"/>
  <c r="T6" i="1"/>
  <c r="S16" i="1"/>
  <c r="AZ5" i="3"/>
  <c r="E3" i="6" s="1"/>
  <c r="M14" i="1"/>
  <c r="C34" i="69"/>
  <c r="K16" i="1"/>
  <c r="M19" i="6"/>
  <c r="K27" i="6"/>
  <c r="I14" i="74"/>
  <c r="B8" i="74" s="1"/>
  <c r="D127" i="9"/>
  <c r="D13" i="52" s="1"/>
  <c r="D12" i="52"/>
  <c r="D20" i="53"/>
  <c r="B40" i="72" s="1"/>
  <c r="B38" i="72"/>
  <c r="S7" i="36"/>
  <c r="AA7" i="36"/>
  <c r="R36" i="36" s="1"/>
  <c r="G52" i="21"/>
  <c r="H52" i="21" s="1"/>
  <c r="F48" i="35"/>
  <c r="L68" i="39"/>
  <c r="K70" i="39"/>
  <c r="J63" i="40"/>
  <c r="I65" i="40"/>
  <c r="W7" i="21"/>
  <c r="AC7" i="21"/>
  <c r="V48" i="21" s="1"/>
  <c r="I48" i="21" s="1"/>
  <c r="G53" i="34"/>
  <c r="H53" i="34" s="1"/>
  <c r="E48" i="21"/>
  <c r="R49" i="21"/>
  <c r="E53" i="33"/>
  <c r="F53" i="33" s="1"/>
  <c r="E52" i="33"/>
  <c r="F52" i="33" s="1"/>
  <c r="I53" i="33"/>
  <c r="J53" i="33" s="1"/>
  <c r="H7" i="36"/>
  <c r="AC7" i="36"/>
  <c r="V36" i="36" s="1"/>
  <c r="I36" i="36" s="1"/>
  <c r="W7" i="36"/>
  <c r="W7" i="34"/>
  <c r="AC7" i="34"/>
  <c r="V49" i="34" s="1"/>
  <c r="I49" i="34" s="1"/>
  <c r="G54" i="34" s="1"/>
  <c r="H54" i="34" s="1"/>
  <c r="C48" i="33"/>
  <c r="C49" i="33"/>
  <c r="F52" i="37"/>
  <c r="G52" i="37" s="1"/>
  <c r="H52" i="37" s="1"/>
  <c r="I52" i="37" s="1"/>
  <c r="J52" i="37" s="1"/>
  <c r="K52" i="37" s="1"/>
  <c r="L52" i="37" s="1"/>
  <c r="M52" i="37" s="1"/>
  <c r="N52" i="37" s="1"/>
  <c r="O52" i="37" s="1"/>
  <c r="H7" i="37"/>
  <c r="C19" i="67"/>
  <c r="C20" i="67" s="1"/>
  <c r="C26" i="67" s="1"/>
  <c r="C53" i="67"/>
  <c r="C48" i="67" s="1"/>
  <c r="C10" i="67"/>
  <c r="C5" i="67" s="1"/>
  <c r="J24" i="67"/>
  <c r="J26" i="67"/>
  <c r="J29" i="67" s="1"/>
  <c r="F22" i="11"/>
  <c r="F22" i="68"/>
  <c r="F24" i="67"/>
  <c r="C24" i="67" s="1"/>
  <c r="F25" i="12"/>
  <c r="F24" i="15"/>
  <c r="C24" i="15" s="1"/>
  <c r="F22" i="69"/>
  <c r="C10" i="15"/>
  <c r="C5" i="15" s="1"/>
  <c r="M27" i="15"/>
  <c r="F10" i="40" l="1"/>
  <c r="H10" i="39"/>
  <c r="H10" i="40"/>
  <c r="J10" i="40"/>
  <c r="F10" i="39"/>
  <c r="J10" i="39"/>
  <c r="R50" i="34"/>
  <c r="C49" i="34" s="1"/>
  <c r="F49" i="15" s="1"/>
  <c r="Z6" i="1" s="1"/>
  <c r="C34" i="43"/>
  <c r="C33" i="43"/>
  <c r="C37" i="43"/>
  <c r="C35" i="43"/>
  <c r="C36" i="43"/>
  <c r="T4" i="43"/>
  <c r="V4" i="43" s="1"/>
  <c r="T2" i="43"/>
  <c r="V2" i="43" s="1"/>
  <c r="T13" i="43"/>
  <c r="V13" i="43" s="1"/>
  <c r="T7" i="43"/>
  <c r="V7" i="43" s="1"/>
  <c r="T15" i="43"/>
  <c r="V15" i="43" s="1"/>
  <c r="T12" i="43"/>
  <c r="V12" i="43" s="1"/>
  <c r="T3" i="43"/>
  <c r="V3" i="43" s="1"/>
  <c r="T8" i="43"/>
  <c r="V8" i="43" s="1"/>
  <c r="T16" i="43"/>
  <c r="V16" i="43" s="1"/>
  <c r="T5" i="43"/>
  <c r="V5" i="43" s="1"/>
  <c r="T10" i="43"/>
  <c r="V10" i="43" s="1"/>
  <c r="C29" i="43"/>
  <c r="T9" i="43"/>
  <c r="V9" i="43" s="1"/>
  <c r="T11" i="43"/>
  <c r="V11" i="43" s="1"/>
  <c r="T6" i="43"/>
  <c r="V6" i="43" s="1"/>
  <c r="T14" i="43"/>
  <c r="V14" i="43" s="1"/>
  <c r="C38" i="43"/>
  <c r="C39" i="43"/>
  <c r="AY6" i="3"/>
  <c r="AY155" i="3" s="1"/>
  <c r="C38" i="69"/>
  <c r="C35" i="69"/>
  <c r="O14" i="1"/>
  <c r="M16" i="1"/>
  <c r="N16" i="1" s="1"/>
  <c r="T16" i="1"/>
  <c r="AY83" i="3"/>
  <c r="AY131" i="3"/>
  <c r="AY318" i="3"/>
  <c r="AY395" i="3"/>
  <c r="AY569" i="3"/>
  <c r="AY206" i="3"/>
  <c r="AY263" i="3"/>
  <c r="BJ6" i="3"/>
  <c r="AY274" i="3"/>
  <c r="AY457" i="3"/>
  <c r="AY546" i="3"/>
  <c r="AY37" i="3"/>
  <c r="AY345" i="3"/>
  <c r="AY423" i="3"/>
  <c r="BA6" i="3"/>
  <c r="AY264" i="3"/>
  <c r="AY517" i="3"/>
  <c r="AY119" i="3"/>
  <c r="AY448" i="3"/>
  <c r="AY586" i="3"/>
  <c r="AY90" i="3"/>
  <c r="AY387" i="3"/>
  <c r="AY425" i="3"/>
  <c r="AY244" i="3"/>
  <c r="AY481" i="3"/>
  <c r="AY562" i="3"/>
  <c r="AY89" i="3"/>
  <c r="AY36" i="3"/>
  <c r="AY146" i="3"/>
  <c r="AY302" i="3"/>
  <c r="AY222" i="3"/>
  <c r="BS6" i="3"/>
  <c r="AY40" i="3"/>
  <c r="AY279" i="3"/>
  <c r="AY356" i="3"/>
  <c r="AY467" i="3"/>
  <c r="AY435" i="3"/>
  <c r="BN6" i="3"/>
  <c r="AY508" i="3"/>
  <c r="AY49" i="3"/>
  <c r="AY122" i="3"/>
  <c r="AY385" i="3"/>
  <c r="AY304" i="3"/>
  <c r="AY418" i="3"/>
  <c r="AY564" i="3"/>
  <c r="AY548" i="3"/>
  <c r="AY30" i="3"/>
  <c r="AY296" i="3"/>
  <c r="AY347" i="3"/>
  <c r="AY421" i="3"/>
  <c r="AY102" i="3"/>
  <c r="AY175" i="3"/>
  <c r="AY208" i="3"/>
  <c r="AY474" i="3"/>
  <c r="AY583" i="3"/>
  <c r="AY50" i="3"/>
  <c r="AY289" i="3"/>
  <c r="AY261" i="3"/>
  <c r="AY209" i="3"/>
  <c r="AY455" i="3"/>
  <c r="AY116"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61" i="3"/>
  <c r="AY305" i="3"/>
  <c r="AY479" i="3"/>
  <c r="AY445" i="3"/>
  <c r="AY402" i="3"/>
  <c r="AY505" i="3"/>
  <c r="AY522" i="3"/>
  <c r="AY551" i="3"/>
  <c r="BP6" i="3"/>
  <c r="AY79" i="3"/>
  <c r="AY19" i="3"/>
  <c r="AY151" i="3"/>
  <c r="AY265"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34"/>
  <c r="D3" i="33"/>
  <c r="B2" i="33" s="1"/>
  <c r="B3" i="33" s="1"/>
  <c r="E6" i="6"/>
  <c r="D37" i="11"/>
  <c r="C37" i="11" s="1"/>
  <c r="D3" i="21"/>
  <c r="D19" i="11"/>
  <c r="C19" i="11" s="1"/>
  <c r="C17" i="4"/>
  <c r="B4" i="52" s="1"/>
  <c r="B43" i="72" s="1"/>
  <c r="L18" i="9"/>
  <c r="D3" i="37"/>
  <c r="M18" i="9"/>
  <c r="B118" i="9" s="1"/>
  <c r="B14" i="74" s="1"/>
  <c r="B1" i="74" s="1"/>
  <c r="C7" i="74" s="1"/>
  <c r="D14" i="12"/>
  <c r="I19" i="6"/>
  <c r="M27" i="6"/>
  <c r="C8" i="74"/>
  <c r="AB7" i="37"/>
  <c r="T42" i="37" s="1"/>
  <c r="G42" i="37" s="1"/>
  <c r="U7" i="37"/>
  <c r="AB7" i="36"/>
  <c r="T36" i="36" s="1"/>
  <c r="G36" i="36" s="1"/>
  <c r="U7" i="36"/>
  <c r="C48" i="21"/>
  <c r="C49" i="21"/>
  <c r="I52" i="21"/>
  <c r="J52" i="21" s="1"/>
  <c r="I53" i="21"/>
  <c r="J53" i="21" s="1"/>
  <c r="G53" i="21"/>
  <c r="H53" i="21" s="1"/>
  <c r="R37" i="36"/>
  <c r="E36" i="36"/>
  <c r="E54" i="34"/>
  <c r="F54" i="34" s="1"/>
  <c r="E53" i="34"/>
  <c r="F53" i="34" s="1"/>
  <c r="J7" i="37"/>
  <c r="F7" i="37"/>
  <c r="I53" i="34"/>
  <c r="J53" i="34" s="1"/>
  <c r="I54" i="34"/>
  <c r="J54" i="34" s="1"/>
  <c r="I40" i="36"/>
  <c r="J40" i="36" s="1"/>
  <c r="I41" i="36"/>
  <c r="J41" i="36" s="1"/>
  <c r="E52" i="21"/>
  <c r="F52" i="21" s="1"/>
  <c r="E53" i="21"/>
  <c r="F53" i="21" s="1"/>
  <c r="K63" i="40"/>
  <c r="J65" i="40"/>
  <c r="M68" i="39"/>
  <c r="L70" i="39"/>
  <c r="G48" i="35"/>
  <c r="C50" i="34"/>
  <c r="C23" i="15"/>
  <c r="C29" i="15" s="1"/>
  <c r="C60" i="67"/>
  <c r="C66" i="67"/>
  <c r="C38" i="15"/>
  <c r="C44" i="69"/>
  <c r="D41" i="69" s="1"/>
  <c r="C26" i="69"/>
  <c r="D22" i="69" s="1"/>
  <c r="C26" i="12"/>
  <c r="D25" i="12" s="1"/>
  <c r="C44" i="68"/>
  <c r="D41" i="68" s="1"/>
  <c r="C26" i="68"/>
  <c r="D22" i="68" s="1"/>
  <c r="C38" i="67"/>
  <c r="C23" i="67"/>
  <c r="C29" i="67" s="1"/>
  <c r="C44" i="11"/>
  <c r="D41" i="11" s="1"/>
  <c r="C26" i="11"/>
  <c r="D22" i="11" s="1"/>
  <c r="C23" i="11"/>
  <c r="W10" i="39" l="1"/>
  <c r="AC10" i="39"/>
  <c r="W10" i="40"/>
  <c r="AC10" i="40"/>
  <c r="AB10" i="39"/>
  <c r="U10" i="39"/>
  <c r="S10" i="39"/>
  <c r="AA10" i="39"/>
  <c r="U10" i="40"/>
  <c r="AB10" i="40"/>
  <c r="AA10" i="40"/>
  <c r="S10" i="40"/>
  <c r="C49" i="15"/>
  <c r="C53" i="15" s="1"/>
  <c r="C48" i="15" s="1"/>
  <c r="B2" i="34"/>
  <c r="B3" i="34" s="1"/>
  <c r="G38" i="43"/>
  <c r="I38" i="43" s="1"/>
  <c r="E38" i="43"/>
  <c r="E35" i="43"/>
  <c r="G35" i="43"/>
  <c r="I35" i="43" s="1"/>
  <c r="G33" i="43"/>
  <c r="I33" i="43" s="1"/>
  <c r="E33" i="43"/>
  <c r="E39" i="43"/>
  <c r="G39" i="43"/>
  <c r="I39" i="43" s="1"/>
  <c r="C30" i="43"/>
  <c r="E30" i="43" s="1"/>
  <c r="E29" i="43"/>
  <c r="E36" i="43"/>
  <c r="G36" i="43"/>
  <c r="I36" i="43" s="1"/>
  <c r="G37" i="43"/>
  <c r="I37" i="43" s="1"/>
  <c r="E37" i="43"/>
  <c r="E34" i="43"/>
  <c r="G34" i="43"/>
  <c r="I34" i="43" s="1"/>
  <c r="AY212" i="3"/>
  <c r="AY497" i="3"/>
  <c r="AY319" i="3"/>
  <c r="AY284" i="3"/>
  <c r="AY183" i="3"/>
  <c r="AY160" i="3"/>
  <c r="AY103" i="3"/>
  <c r="AY413" i="3"/>
  <c r="AY339" i="3"/>
  <c r="AY288" i="3"/>
  <c r="AY22" i="3"/>
  <c r="AY528" i="3"/>
  <c r="AY482" i="3"/>
  <c r="AY216" i="3"/>
  <c r="AY140" i="3"/>
  <c r="AY110" i="3"/>
  <c r="AY537" i="3"/>
  <c r="AY399" i="3"/>
  <c r="AY461" i="3"/>
  <c r="AY321" i="3"/>
  <c r="AY235" i="3"/>
  <c r="AY205" i="3"/>
  <c r="AY577" i="3"/>
  <c r="AY518" i="3"/>
  <c r="AY525" i="3"/>
  <c r="AY454" i="3"/>
  <c r="AY340" i="3"/>
  <c r="AY226" i="3"/>
  <c r="AY150" i="3"/>
  <c r="AY93" i="3"/>
  <c r="AY389" i="3"/>
  <c r="AY239" i="3"/>
  <c r="AY126" i="3"/>
  <c r="AY182" i="3"/>
  <c r="AY53" i="3"/>
  <c r="BO6" i="3"/>
  <c r="AY404" i="3"/>
  <c r="AY355" i="3"/>
  <c r="AY199" i="3"/>
  <c r="AY486" i="3"/>
  <c r="AY75" i="3"/>
  <c r="AY18" i="3"/>
  <c r="BD6" i="3"/>
  <c r="AY367" i="3"/>
  <c r="AY70" i="3"/>
  <c r="AY314" i="3"/>
  <c r="AY187" i="3"/>
  <c r="AY502" i="3"/>
  <c r="AY484" i="3"/>
  <c r="AY282" i="3"/>
  <c r="AY514" i="3"/>
  <c r="AY581" i="3"/>
  <c r="AY317" i="3"/>
  <c r="AY197" i="3"/>
  <c r="AY392" i="3"/>
  <c r="AY149" i="3"/>
  <c r="AY77" i="3"/>
  <c r="AY452" i="3"/>
  <c r="AY106" i="3"/>
  <c r="AY268" i="3"/>
  <c r="AY87"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D3" i="6"/>
  <c r="AY509" i="3"/>
  <c r="AY531" i="3"/>
  <c r="AY94" i="3"/>
  <c r="AY35" i="3"/>
  <c r="AY167" i="3"/>
  <c r="AY280" i="3"/>
  <c r="AY221" i="3"/>
  <c r="AY331" i="3"/>
  <c r="AY466" i="3"/>
  <c r="AY405" i="3"/>
  <c r="AY512" i="3"/>
  <c r="AY86" i="3"/>
  <c r="AY27" i="3"/>
  <c r="AY159" i="3"/>
  <c r="AY273" i="3"/>
  <c r="AY213" i="3"/>
  <c r="AY323" i="3"/>
  <c r="AY459" i="3"/>
  <c r="AY416" i="3"/>
  <c r="AY550" i="3"/>
  <c r="BC6" i="3"/>
  <c r="AY504" i="3"/>
  <c r="AY498" i="3"/>
  <c r="AY82" i="3"/>
  <c r="AY191" i="3"/>
  <c r="AY132" i="3"/>
  <c r="AY31" i="3"/>
  <c r="AY292" i="3"/>
  <c r="AY147" i="3"/>
  <c r="AY220" i="3"/>
  <c r="AY350" i="3"/>
  <c r="AY23" i="3"/>
  <c r="AY59" i="3"/>
  <c r="AY58" i="3"/>
  <c r="AY371" i="3"/>
  <c r="AY428" i="3"/>
  <c r="AY245" i="3"/>
  <c r="AY342" i="3"/>
  <c r="AY513" i="3"/>
  <c r="AY553" i="3"/>
  <c r="AY60" i="3"/>
  <c r="AY170" i="3"/>
  <c r="AY299" i="3"/>
  <c r="AY246" i="3"/>
  <c r="AY357" i="3"/>
  <c r="AY41" i="3"/>
  <c r="AY114" i="3"/>
  <c r="AY377" i="3"/>
  <c r="AY491" i="3"/>
  <c r="AY414" i="3"/>
  <c r="AY561" i="3"/>
  <c r="AY16" i="3"/>
  <c r="AY96" i="3"/>
  <c r="AY169" i="3"/>
  <c r="AY223" i="3"/>
  <c r="AY328" i="3"/>
  <c r="AY442" i="3"/>
  <c r="AY499" i="3"/>
  <c r="BR6" i="3"/>
  <c r="AY78" i="3"/>
  <c r="AY127" i="3"/>
  <c r="AY376" i="3"/>
  <c r="AY424" i="3"/>
  <c r="AY587" i="3"/>
  <c r="AY179" i="3"/>
  <c r="AY256" i="3"/>
  <c r="AY306" i="3"/>
  <c r="AY429" i="3"/>
  <c r="AY511" i="3"/>
  <c r="AY98" i="3"/>
  <c r="AY171" i="3"/>
  <c r="AY163" i="3"/>
  <c r="AY23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39" i="3"/>
  <c r="AY195" i="3"/>
  <c r="AY136" i="3"/>
  <c r="AY272" i="3"/>
  <c r="AY375" i="3"/>
  <c r="AY322" i="3"/>
  <c r="AY432" i="3"/>
  <c r="AY15" i="3"/>
  <c r="AY567" i="3"/>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14" i="3"/>
  <c r="AY506" i="3"/>
  <c r="AY407" i="3"/>
  <c r="AY439" i="3"/>
  <c r="AY426" i="3"/>
  <c r="AY458" i="3"/>
  <c r="AY468" i="3"/>
  <c r="AY471" i="3"/>
  <c r="AY312" i="3"/>
  <c r="AY344" i="3"/>
  <c r="AY329" i="3"/>
  <c r="AY364" i="3"/>
  <c r="AY380" i="3"/>
  <c r="AY234" i="3"/>
  <c r="AY251" i="3"/>
  <c r="AY287" i="3"/>
  <c r="AY137" i="3"/>
  <c r="AY158" i="3"/>
  <c r="AY194" i="3"/>
  <c r="AY48" i="3"/>
  <c r="AY65" i="3"/>
  <c r="AY101" i="3"/>
  <c r="AY582" i="3"/>
  <c r="AY494" i="3"/>
  <c r="AY501" i="3"/>
  <c r="BG6" i="3"/>
  <c r="AY495" i="3"/>
  <c r="AY571" i="3"/>
  <c r="AY534" i="3"/>
  <c r="AY585" i="3"/>
  <c r="BQ6" i="3"/>
  <c r="AY411" i="3"/>
  <c r="AY398" i="3"/>
  <c r="AY430" i="3"/>
  <c r="AY462" i="3"/>
  <c r="AY472" i="3"/>
  <c r="AY475" i="3"/>
  <c r="AY316" i="3"/>
  <c r="AY348" i="3"/>
  <c r="AY333" i="3"/>
  <c r="AY353" i="3"/>
  <c r="AY388" i="3"/>
  <c r="AY242" i="3"/>
  <c r="AY259" i="3"/>
  <c r="AY295" i="3"/>
  <c r="AY145" i="3"/>
  <c r="AY166" i="3"/>
  <c r="AY202" i="3"/>
  <c r="AY56" i="3"/>
  <c r="AY73" i="3"/>
  <c r="AY109" i="3"/>
  <c r="BH6" i="3"/>
  <c r="AY360" i="3"/>
  <c r="AY374" i="3"/>
  <c r="AY397" i="3"/>
  <c r="AY219" i="3"/>
  <c r="AY230" i="3"/>
  <c r="AY262" i="3"/>
  <c r="AY247" i="3"/>
  <c r="AY278" i="3"/>
  <c r="AY283" i="3"/>
  <c r="AY125" i="3"/>
  <c r="AY133" i="3"/>
  <c r="AY165" i="3"/>
  <c r="AY154" i="3"/>
  <c r="AY185" i="3"/>
  <c r="AY190" i="3"/>
  <c r="AY33" i="3"/>
  <c r="AY44" i="3"/>
  <c r="AY76" i="3"/>
  <c r="AY61" i="3"/>
  <c r="AY92" i="3"/>
  <c r="AY97" i="3"/>
  <c r="BE6" i="3"/>
  <c r="AY533" i="3"/>
  <c r="AY544" i="3"/>
  <c r="AY549" i="3"/>
  <c r="AY401" i="3"/>
  <c r="AY420" i="3"/>
  <c r="AY463" i="3"/>
  <c r="AY310" i="3"/>
  <c r="AY327" i="3"/>
  <c r="AY372" i="3"/>
  <c r="AY217" i="3"/>
  <c r="AY260" i="3"/>
  <c r="AY300" i="3"/>
  <c r="AY26" i="3"/>
  <c r="AY529" i="3"/>
  <c r="AY441" i="3"/>
  <c r="AY460" i="3"/>
  <c r="AY473" i="3"/>
  <c r="AY303" i="3"/>
  <c r="AY366" i="3"/>
  <c r="AY382" i="3"/>
  <c r="AY236" i="3"/>
  <c r="AY253" i="3"/>
  <c r="AY168" i="3"/>
  <c r="AY111" i="3"/>
  <c r="AY281" i="3"/>
  <c r="AY152" i="3"/>
  <c r="AY42" i="3"/>
  <c r="AY95" i="3"/>
  <c r="AY124" i="3"/>
  <c r="AY144" i="3"/>
  <c r="AY207" i="3"/>
  <c r="AY34" i="3"/>
  <c r="AY51" i="3"/>
  <c r="L16" i="1"/>
  <c r="C34" i="11"/>
  <c r="F50" i="11"/>
  <c r="F50" i="69"/>
  <c r="F50" i="68"/>
  <c r="P14" i="1"/>
  <c r="P16" i="1" s="1"/>
  <c r="C11" i="12" s="1"/>
  <c r="O16" i="1"/>
  <c r="B2" i="21"/>
  <c r="B3" i="21" s="1"/>
  <c r="S19" i="6"/>
  <c r="S27" i="6" s="1"/>
  <c r="I27" i="6"/>
  <c r="C20" i="11"/>
  <c r="C25" i="11" s="1"/>
  <c r="C24" i="11"/>
  <c r="D17" i="12"/>
  <c r="C17" i="12" s="1"/>
  <c r="C14" i="12"/>
  <c r="D20" i="12"/>
  <c r="C20" i="12" s="1"/>
  <c r="C18" i="12" s="1"/>
  <c r="D10" i="11"/>
  <c r="C10" i="11" s="1"/>
  <c r="D10" i="69"/>
  <c r="M19" i="9"/>
  <c r="C118" i="9" s="1"/>
  <c r="C14" i="74" s="1"/>
  <c r="B2" i="74" s="1"/>
  <c r="D19" i="6"/>
  <c r="D26" i="6"/>
  <c r="C18" i="4"/>
  <c r="D25" i="6"/>
  <c r="D22" i="6"/>
  <c r="D21" i="6"/>
  <c r="D24" i="6"/>
  <c r="D20" i="6"/>
  <c r="D6" i="6"/>
  <c r="D9" i="6"/>
  <c r="D10" i="6"/>
  <c r="L19" i="9"/>
  <c r="D29" i="6"/>
  <c r="H25" i="6"/>
  <c r="H22" i="6"/>
  <c r="H21" i="6"/>
  <c r="H24" i="6"/>
  <c r="H20" i="6"/>
  <c r="D15" i="6"/>
  <c r="D8" i="6"/>
  <c r="D23" i="6"/>
  <c r="D14" i="6"/>
  <c r="D5" i="6"/>
  <c r="D12" i="6"/>
  <c r="D11" i="6"/>
  <c r="D13" i="6"/>
  <c r="D28" i="6"/>
  <c r="D30" i="6" s="1"/>
  <c r="E61" i="40"/>
  <c r="H23" i="6"/>
  <c r="H26" i="6"/>
  <c r="H19" i="6"/>
  <c r="H48" i="35"/>
  <c r="N68" i="39"/>
  <c r="M70" i="39"/>
  <c r="L63" i="40"/>
  <c r="K65" i="40"/>
  <c r="AC7" i="37"/>
  <c r="V42" i="37" s="1"/>
  <c r="I42" i="37" s="1"/>
  <c r="W7" i="37"/>
  <c r="C37" i="36"/>
  <c r="B2" i="36" s="1"/>
  <c r="B3" i="36" s="1"/>
  <c r="C36" i="36"/>
  <c r="AA7" i="37"/>
  <c r="R42" i="37" s="1"/>
  <c r="S7" i="37"/>
  <c r="E40" i="36"/>
  <c r="F40" i="36" s="1"/>
  <c r="E41" i="36"/>
  <c r="F41" i="36" s="1"/>
  <c r="G40" i="36"/>
  <c r="H40" i="36" s="1"/>
  <c r="G41" i="36"/>
  <c r="H41" i="36" s="1"/>
  <c r="G46" i="37"/>
  <c r="H46" i="37" s="1"/>
  <c r="G47" i="37"/>
  <c r="H47" i="37" s="1"/>
  <c r="C57" i="67"/>
  <c r="C36" i="67"/>
  <c r="J14" i="67"/>
  <c r="Q49" i="67"/>
  <c r="J19" i="67"/>
  <c r="J17" i="67" s="1"/>
  <c r="C33" i="67"/>
  <c r="C31" i="67" s="1"/>
  <c r="C13" i="67"/>
  <c r="J59" i="67"/>
  <c r="J60" i="67" s="1"/>
  <c r="C33" i="15"/>
  <c r="C57" i="15"/>
  <c r="C13" i="15"/>
  <c r="Q49" i="15"/>
  <c r="J14" i="15"/>
  <c r="C36" i="15"/>
  <c r="J59" i="15"/>
  <c r="J60" i="15" s="1"/>
  <c r="M6" i="15"/>
  <c r="C34" i="68"/>
  <c r="D10" i="68"/>
  <c r="J6" i="15" l="1"/>
  <c r="C60" i="15"/>
  <c r="C66" i="15"/>
  <c r="C26" i="43"/>
  <c r="B2" i="43" s="1"/>
  <c r="C6" i="68" s="1"/>
  <c r="C27" i="43"/>
  <c r="C22" i="11"/>
  <c r="H27" i="6"/>
  <c r="D16" i="6"/>
  <c r="C15" i="12"/>
  <c r="C12" i="12"/>
  <c r="C38" i="11"/>
  <c r="C35" i="11"/>
  <c r="C38" i="68"/>
  <c r="C35" i="68"/>
  <c r="R23" i="6"/>
  <c r="R20" i="6"/>
  <c r="R21" i="6"/>
  <c r="R25" i="6"/>
  <c r="R26" i="6"/>
  <c r="D7" i="74"/>
  <c r="D8" i="74"/>
  <c r="C10" i="68"/>
  <c r="C8" i="68" s="1"/>
  <c r="D19" i="68"/>
  <c r="C28" i="11"/>
  <c r="C27" i="11" s="1"/>
  <c r="R24" i="6"/>
  <c r="R22" i="6"/>
  <c r="A7" i="51"/>
  <c r="B7" i="72" s="1"/>
  <c r="C4" i="52"/>
  <c r="B45" i="72" s="1"/>
  <c r="A10" i="51"/>
  <c r="B9" i="72" s="1"/>
  <c r="D27" i="6"/>
  <c r="D31" i="6" s="1"/>
  <c r="R19" i="6"/>
  <c r="C10" i="69"/>
  <c r="C8" i="69" s="1"/>
  <c r="C5" i="69" s="1"/>
  <c r="D19" i="69"/>
  <c r="R43" i="37"/>
  <c r="E42" i="37"/>
  <c r="I47" i="37"/>
  <c r="J47" i="37" s="1"/>
  <c r="I46" i="37"/>
  <c r="J46" i="37" s="1"/>
  <c r="M63" i="40"/>
  <c r="L65" i="40"/>
  <c r="O68" i="39"/>
  <c r="O70" i="39" s="1"/>
  <c r="N70" i="39"/>
  <c r="J7" i="39" s="1"/>
  <c r="I48" i="35"/>
  <c r="J48" i="35" s="1"/>
  <c r="K48" i="35" s="1"/>
  <c r="L48" i="35" s="1"/>
  <c r="M48" i="35" s="1"/>
  <c r="N48" i="35" s="1"/>
  <c r="O48" i="35" s="1"/>
  <c r="F7" i="35" s="1"/>
  <c r="J7" i="35"/>
  <c r="C64" i="15"/>
  <c r="C61" i="15"/>
  <c r="Q48" i="67"/>
  <c r="L46" i="67"/>
  <c r="Q48" i="15"/>
  <c r="J22" i="15"/>
  <c r="J13" i="15"/>
  <c r="J23" i="15" s="1"/>
  <c r="C75" i="15"/>
  <c r="Q70" i="15"/>
  <c r="C56" i="15"/>
  <c r="C65" i="15" s="1"/>
  <c r="C37" i="15"/>
  <c r="C37" i="67"/>
  <c r="C30" i="67" s="1"/>
  <c r="C39" i="67" s="1"/>
  <c r="C75" i="67"/>
  <c r="Q70" i="67"/>
  <c r="C56" i="67"/>
  <c r="C65" i="67" s="1"/>
  <c r="J22" i="67"/>
  <c r="J13" i="67"/>
  <c r="J23" i="67" s="1"/>
  <c r="C61" i="67"/>
  <c r="C59" i="67" s="1"/>
  <c r="C64" i="67"/>
  <c r="E6" i="76"/>
  <c r="B6" i="76"/>
  <c r="J10" i="15" l="1"/>
  <c r="J5" i="15" s="1"/>
  <c r="J24" i="15" s="1"/>
  <c r="J18" i="15"/>
  <c r="J19" i="15"/>
  <c r="C31" i="11"/>
  <c r="C7" i="68"/>
  <c r="C5" i="68" s="1"/>
  <c r="C23" i="68" s="1"/>
  <c r="B2" i="76"/>
  <c r="E2" i="76"/>
  <c r="B3" i="43"/>
  <c r="R27" i="6"/>
  <c r="R6" i="1"/>
  <c r="C33" i="11"/>
  <c r="C39" i="11" s="1"/>
  <c r="C46" i="11" s="1"/>
  <c r="C45" i="11" s="1"/>
  <c r="C16" i="12"/>
  <c r="C21" i="12" s="1"/>
  <c r="C22" i="12" s="1"/>
  <c r="C30" i="12" s="1"/>
  <c r="C28" i="12" s="1"/>
  <c r="C42" i="11"/>
  <c r="C23" i="69"/>
  <c r="I6" i="6"/>
  <c r="I5" i="6"/>
  <c r="C19" i="69"/>
  <c r="C24" i="69" s="1"/>
  <c r="D37" i="69"/>
  <c r="C37" i="69" s="1"/>
  <c r="C33" i="69" s="1"/>
  <c r="C19" i="68"/>
  <c r="D37" i="68"/>
  <c r="C37" i="68" s="1"/>
  <c r="C33" i="68" s="1"/>
  <c r="S7" i="35"/>
  <c r="AA7" i="35"/>
  <c r="R38" i="35" s="1"/>
  <c r="AC7" i="39"/>
  <c r="V47" i="39" s="1"/>
  <c r="I47" i="39" s="1"/>
  <c r="W7" i="39"/>
  <c r="AC7" i="35"/>
  <c r="V38" i="35" s="1"/>
  <c r="I38" i="35" s="1"/>
  <c r="W7" i="35"/>
  <c r="N63" i="40"/>
  <c r="M65" i="40"/>
  <c r="C43" i="37"/>
  <c r="B2" i="37" s="1"/>
  <c r="B3" i="37" s="1"/>
  <c r="C42" i="37"/>
  <c r="H7" i="35"/>
  <c r="H7" i="39"/>
  <c r="F7" i="39"/>
  <c r="E47" i="37"/>
  <c r="F47" i="37" s="1"/>
  <c r="E46" i="37"/>
  <c r="F46" i="37" s="1"/>
  <c r="C58" i="67"/>
  <c r="C67" i="67" s="1"/>
  <c r="C68" i="67" s="1"/>
  <c r="C71" i="67" s="1"/>
  <c r="J16" i="67"/>
  <c r="J25" i="67" s="1"/>
  <c r="Q69" i="67"/>
  <c r="Q68" i="67" s="1"/>
  <c r="C40" i="67"/>
  <c r="C80" i="67"/>
  <c r="C79" i="67" s="1"/>
  <c r="L51" i="67"/>
  <c r="F35" i="15"/>
  <c r="M21" i="15"/>
  <c r="J20" i="15" l="1"/>
  <c r="J17" i="15" s="1"/>
  <c r="J16" i="15" s="1"/>
  <c r="J25" i="15" s="1"/>
  <c r="J26" i="15" s="1"/>
  <c r="J29" i="15" s="1"/>
  <c r="C34" i="15"/>
  <c r="C31" i="15" s="1"/>
  <c r="C30" i="15" s="1"/>
  <c r="C39" i="15" s="1"/>
  <c r="F63" i="15"/>
  <c r="C62" i="15" s="1"/>
  <c r="C59" i="15" s="1"/>
  <c r="C58" i="15" s="1"/>
  <c r="C67" i="15" s="1"/>
  <c r="C68" i="15" s="1"/>
  <c r="C71" i="15" s="1"/>
  <c r="R16" i="1"/>
  <c r="B3" i="76"/>
  <c r="C43" i="11"/>
  <c r="C41" i="11" s="1"/>
  <c r="C49" i="11" s="1"/>
  <c r="C51" i="11" s="1"/>
  <c r="C20" i="68"/>
  <c r="C25" i="68" s="1"/>
  <c r="C24" i="68"/>
  <c r="C20" i="69"/>
  <c r="C27" i="12"/>
  <c r="C25" i="12" s="1"/>
  <c r="C32" i="12" s="1"/>
  <c r="B2" i="12" s="1"/>
  <c r="B3" i="12" s="1"/>
  <c r="C39" i="68"/>
  <c r="C42" i="68"/>
  <c r="C39" i="69"/>
  <c r="C42" i="69"/>
  <c r="AB7" i="39"/>
  <c r="T47" i="39" s="1"/>
  <c r="G47" i="39" s="1"/>
  <c r="U7" i="39"/>
  <c r="E38" i="35"/>
  <c r="R39" i="35"/>
  <c r="C45" i="67"/>
  <c r="C46" i="67" s="1"/>
  <c r="S7" i="39"/>
  <c r="AA7" i="39"/>
  <c r="R47" i="39" s="1"/>
  <c r="U7" i="35"/>
  <c r="AB7" i="35"/>
  <c r="T38" i="35" s="1"/>
  <c r="G38" i="35" s="1"/>
  <c r="O63" i="40"/>
  <c r="O65" i="40" s="1"/>
  <c r="J7" i="40" s="1"/>
  <c r="N65" i="40"/>
  <c r="I42" i="35"/>
  <c r="J42" i="35" s="1"/>
  <c r="I43" i="35"/>
  <c r="J43" i="35" s="1"/>
  <c r="I51" i="39"/>
  <c r="J51" i="39" s="1"/>
  <c r="Q67" i="67"/>
  <c r="L57" i="67"/>
  <c r="L60" i="67" s="1"/>
  <c r="Q56" i="67"/>
  <c r="Q47" i="67"/>
  <c r="Q53" i="67" s="1"/>
  <c r="Q65" i="67"/>
  <c r="D2" i="67"/>
  <c r="C43" i="67"/>
  <c r="C83" i="67"/>
  <c r="C82" i="67" s="1"/>
  <c r="L51" i="15"/>
  <c r="Q67" i="15" l="1"/>
  <c r="L57" i="15"/>
  <c r="L60" i="15" s="1"/>
  <c r="L46" i="15" s="1"/>
  <c r="C40" i="15"/>
  <c r="C80" i="15"/>
  <c r="C79" i="15" s="1"/>
  <c r="Q69" i="15"/>
  <c r="Q68" i="15" s="1"/>
  <c r="C22" i="68"/>
  <c r="C52" i="11"/>
  <c r="B2" i="11" s="1"/>
  <c r="B3" i="11" s="1"/>
  <c r="C46" i="68"/>
  <c r="C45" i="68" s="1"/>
  <c r="C43" i="68"/>
  <c r="C41" i="68" s="1"/>
  <c r="C28" i="69"/>
  <c r="C27" i="69" s="1"/>
  <c r="C25" i="69"/>
  <c r="C22" i="69" s="1"/>
  <c r="C46" i="69"/>
  <c r="C45" i="69" s="1"/>
  <c r="C43" i="69"/>
  <c r="C41" i="69" s="1"/>
  <c r="C28" i="68"/>
  <c r="C27" i="68" s="1"/>
  <c r="C31" i="68" s="1"/>
  <c r="AC7" i="40"/>
  <c r="V42" i="40" s="1"/>
  <c r="I42" i="40" s="1"/>
  <c r="W7" i="40"/>
  <c r="C38" i="35"/>
  <c r="C39" i="35"/>
  <c r="B2" i="35" s="1"/>
  <c r="B3" i="35" s="1"/>
  <c r="H7" i="40"/>
  <c r="F7" i="40"/>
  <c r="G42" i="35"/>
  <c r="H42" i="35" s="1"/>
  <c r="G43" i="35"/>
  <c r="H43" i="35" s="1"/>
  <c r="R48" i="39"/>
  <c r="E47" i="39"/>
  <c r="E43" i="35"/>
  <c r="F43" i="35" s="1"/>
  <c r="E42" i="35"/>
  <c r="F42" i="35" s="1"/>
  <c r="G51" i="39"/>
  <c r="H51" i="39" s="1"/>
  <c r="G52" i="39"/>
  <c r="H52" i="39" s="1"/>
  <c r="B2" i="67"/>
  <c r="B3" i="67"/>
  <c r="Q57" i="67"/>
  <c r="Q62" i="67" s="1"/>
  <c r="Q66" i="67"/>
  <c r="Q75" i="67" s="1"/>
  <c r="Q57" i="15" l="1"/>
  <c r="Q66" i="15"/>
  <c r="Q56" i="15"/>
  <c r="Q62" i="15" s="1"/>
  <c r="Q65" i="15"/>
  <c r="Q75" i="15" s="1"/>
  <c r="C43" i="15"/>
  <c r="C83" i="15"/>
  <c r="C82" i="15" s="1"/>
  <c r="C46" i="15"/>
  <c r="B2" i="15"/>
  <c r="Q47" i="15"/>
  <c r="Q53" i="15" s="1"/>
  <c r="C31" i="69"/>
  <c r="C49" i="68"/>
  <c r="C51" i="68" s="1"/>
  <c r="C52" i="68" s="1"/>
  <c r="C49" i="69"/>
  <c r="C51" i="69" s="1"/>
  <c r="C56" i="11"/>
  <c r="C57" i="11" s="1"/>
  <c r="E52" i="39"/>
  <c r="F52" i="39" s="1"/>
  <c r="E51" i="39"/>
  <c r="F51" i="39" s="1"/>
  <c r="I52" i="39"/>
  <c r="J52" i="39" s="1"/>
  <c r="AA7" i="40"/>
  <c r="R42" i="40" s="1"/>
  <c r="S7" i="40"/>
  <c r="C48" i="39"/>
  <c r="C47" i="39"/>
  <c r="U7" i="40"/>
  <c r="AB7" i="40"/>
  <c r="T42" i="40" s="1"/>
  <c r="G42" i="40" s="1"/>
  <c r="I46" i="40"/>
  <c r="J46" i="40" s="1"/>
  <c r="AO6" i="1"/>
  <c r="E2" i="68"/>
  <c r="D19" i="9"/>
  <c r="B2" i="68" l="1"/>
  <c r="D21" i="9"/>
  <c r="D102" i="9"/>
  <c r="B6" i="70"/>
  <c r="B2" i="70" s="1"/>
  <c r="B3" i="70" s="1"/>
  <c r="B3" i="15"/>
  <c r="C52" i="69"/>
  <c r="B2" i="69" s="1"/>
  <c r="B3" i="69" s="1"/>
  <c r="C57" i="68"/>
  <c r="C56" i="68"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E42" i="40"/>
  <c r="R43" i="40"/>
  <c r="G47" i="40"/>
  <c r="H47" i="40" s="1"/>
  <c r="G46" i="40"/>
  <c r="H46" i="40" s="1"/>
  <c r="D20" i="9"/>
  <c r="B3" i="68"/>
  <c r="C19" i="9"/>
  <c r="C20" i="9"/>
  <c r="D34" i="9"/>
  <c r="D35" i="9"/>
  <c r="G19" i="9" l="1"/>
  <c r="G21" i="9" s="1"/>
  <c r="C102" i="9"/>
  <c r="D22" i="9"/>
  <c r="C21" i="9"/>
  <c r="D103" i="9"/>
  <c r="C57" i="69"/>
  <c r="C56" i="69" s="1"/>
  <c r="G20" i="9"/>
  <c r="C103" i="9"/>
  <c r="C32" i="9"/>
  <c r="E47" i="40"/>
  <c r="F47" i="40" s="1"/>
  <c r="E46" i="40"/>
  <c r="F46" i="40" s="1"/>
  <c r="I47" i="40"/>
  <c r="J47" i="40" s="1"/>
  <c r="C42" i="40"/>
  <c r="C43" i="40"/>
  <c r="C35" i="9" l="1"/>
  <c r="F118" i="9" s="1"/>
  <c r="H118" i="9"/>
  <c r="B52" i="40"/>
  <c r="F52" i="40" s="1"/>
  <c r="B55" i="40"/>
  <c r="F55" i="40" s="1"/>
  <c r="B57" i="40"/>
  <c r="F57" i="40" s="1"/>
  <c r="B56" i="40"/>
  <c r="F56" i="40" s="1"/>
  <c r="B53" i="40"/>
  <c r="F53" i="40" s="1"/>
  <c r="B58" i="40"/>
  <c r="F58" i="40" s="1"/>
  <c r="B51" i="40"/>
  <c r="F51" i="40" s="1"/>
  <c r="B60" i="40"/>
  <c r="F60" i="40" s="1"/>
  <c r="B59" i="40"/>
  <c r="F59" i="40" s="1"/>
  <c r="B54" i="40"/>
  <c r="F54" i="40" s="1"/>
  <c r="F61" i="40"/>
  <c r="B2" i="40" s="1"/>
  <c r="B3" i="40" s="1"/>
  <c r="C34" i="9" l="1"/>
  <c r="D118" i="9" s="1"/>
  <c r="D4" i="52" s="1"/>
  <c r="B47" i="72" s="1"/>
  <c r="F4" i="52"/>
  <c r="B51" i="72" s="1"/>
  <c r="F119" i="9"/>
  <c r="F5" i="52" s="1"/>
  <c r="B53" i="72" s="1"/>
  <c r="G118" i="9"/>
  <c r="G4" i="52" s="1"/>
  <c r="B52" i="72" s="1"/>
  <c r="D14" i="74"/>
  <c r="C104" i="9"/>
  <c r="H119" i="9"/>
  <c r="H5" i="52" s="1"/>
  <c r="H101" i="9"/>
  <c r="H4" i="52"/>
  <c r="I118" i="9"/>
  <c r="D119" i="9" l="1"/>
  <c r="D5" i="52" s="1"/>
  <c r="B49" i="72" s="1"/>
  <c r="I4" i="52"/>
  <c r="C105" i="9"/>
  <c r="H102" i="9"/>
  <c r="D7" i="53" s="1"/>
  <c r="B21" i="72" s="1"/>
  <c r="E118" i="9"/>
  <c r="E4" i="52" s="1"/>
  <c r="B48" i="72" s="1"/>
  <c r="D45" i="9"/>
  <c r="H107" i="9"/>
  <c r="M48" i="9"/>
  <c r="D5" i="53"/>
  <c r="B5" i="74"/>
  <c r="E14" i="74"/>
  <c r="F14" i="74"/>
  <c r="C5" i="74" l="1"/>
  <c r="D5" i="74"/>
  <c r="D6" i="53"/>
  <c r="B22" i="72" s="1"/>
  <c r="B20" i="72"/>
  <c r="M49" i="9"/>
  <c r="D122" i="9"/>
  <c r="H108" i="9"/>
  <c r="D15" i="53" s="1"/>
  <c r="B31" i="72" s="1"/>
  <c r="D13" i="53"/>
  <c r="D55" i="9"/>
  <c r="M53" i="9" s="1"/>
  <c r="C64" i="9"/>
  <c r="C63" i="9" s="1"/>
  <c r="C67" i="9" s="1"/>
  <c r="C68" i="9" s="1"/>
  <c r="D54" i="9" s="1"/>
  <c r="C85" i="9"/>
  <c r="C93" i="9"/>
  <c r="C86" i="9" s="1"/>
  <c r="D53" i="9"/>
  <c r="C78" i="9"/>
  <c r="C73" i="9" s="1"/>
  <c r="C72" i="9"/>
  <c r="D52" i="9"/>
  <c r="C79" i="9" l="1"/>
  <c r="C80" i="9" s="1"/>
  <c r="E80" i="9" s="1"/>
  <c r="E81" i="9" s="1"/>
  <c r="C95" i="9"/>
  <c r="C96" i="9" s="1"/>
  <c r="E96" i="9" s="1"/>
  <c r="E97" i="9" s="1"/>
  <c r="L65" i="9"/>
  <c r="M65" i="9" s="1"/>
  <c r="L64" i="9"/>
  <c r="M64" i="9" s="1"/>
  <c r="L67" i="9"/>
  <c r="M67" i="9" s="1"/>
  <c r="L68" i="9"/>
  <c r="M68" i="9" s="1"/>
  <c r="L66" i="9"/>
  <c r="M66" i="9" s="1"/>
  <c r="L63" i="9"/>
  <c r="M63" i="9" s="1"/>
  <c r="B30" i="72"/>
  <c r="D14" i="53"/>
  <c r="B32" i="72" s="1"/>
  <c r="D123" i="9"/>
  <c r="D9" i="52" s="1"/>
  <c r="G14" i="74"/>
  <c r="B6" i="74" s="1"/>
  <c r="D8" i="52"/>
  <c r="M69" i="9" l="1"/>
  <c r="N69" i="9" s="1"/>
  <c r="C97" i="9"/>
  <c r="D58" i="9" s="1"/>
  <c r="D56" i="9" s="1"/>
  <c r="M54" i="9" s="1"/>
  <c r="N57" i="9" s="1"/>
  <c r="N59" i="9" s="1"/>
  <c r="N60" i="9" s="1"/>
  <c r="C81" i="9"/>
  <c r="D6" i="74"/>
  <c r="C6" i="74"/>
  <c r="N61" i="9" l="1"/>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<sst xmlns="http://schemas.openxmlformats.org/spreadsheetml/2006/main" count="7759" uniqueCount="3148">
  <si>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</si>
  <si>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</si>
  <si>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</si>
  <si>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</si>
  <si>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</si>
  <si>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</si>
  <si>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</si>
  <si>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</si>
  <si>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</si>
  <si>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</si>
  <si>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</si>
  <si>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</si>
  <si>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</si>
  <si>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</si>
  <si>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</si>
  <si>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</si>
  <si>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</si>
  <si>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</si>
  <si>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</si>
  <si>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</si>
  <si>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</si>
  <si>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</si>
  <si>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</si>
  <si>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</si>
  <si>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</si>
  <si>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</si>
  <si>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</si>
  <si>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</si>
  <si>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</si>
  <si>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</si>
  <si>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</si>
  <si>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</si>
  <si>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</si>
  <si>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</si>
  <si>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</si>
  <si>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</si>
  <si>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</si>
  <si>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</si>
  <si>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</si>
  <si>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</si>
  <si>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</si>
  <si>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</si>
  <si>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</si>
  <si>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</si>
  <si>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</si>
  <si>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</si>
  <si>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</si>
  <si>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</si>
  <si>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</si>
  <si>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</si>
  <si>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</si>
  <si>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</si>
  <si>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</si>
  <si>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</si>
  <si>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</si>
  <si>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</si>
  <si>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</si>
  <si>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</si>
  <si>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</si>
  <si>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</si>
  <si>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</si>
  <si>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</si>
  <si>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</si>
  <si>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</si>
  <si>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</si>
  <si>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</si>
  <si>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</si>
  <si>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</si>
  <si>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</si>
  <si>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</si>
  <si>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</si>
  <si>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</si>
  <si>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</si>
  <si>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</si>
  <si>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</si>
  <si>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</si>
  <si>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</si>
  <si>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</si>
  <si>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</si>
  <si>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</si>
  <si>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</si>
  <si>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</si>
  <si>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</si>
  <si>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</si>
  <si>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</si>
  <si>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</si>
  <si>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</si>
  <si>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</si>
  <si>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</si>
  <si>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</si>
  <si>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</si>
  <si>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</si>
  <si>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</si>
  <si>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</si>
  <si>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</si>
  <si>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</si>
  <si>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</si>
  <si>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</si>
  <si>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</si>
  <si>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</si>
  <si>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</si>
  <si>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</si>
  <si>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</si>
  <si>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</si>
  <si>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</si>
  <si>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</si>
  <si>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</si>
  <si>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</si>
  <si>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</si>
  <si>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</si>
  <si>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</si>
  <si>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</si>
  <si>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</si>
  <si>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</si>
  <si>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</si>
  <si>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</si>
  <si>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</si>
  <si>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</si>
  <si>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</si>
  <si>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</si>
  <si>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</si>
  <si>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</si>
  <si>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</si>
  <si>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</si>
  <si>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</si>
  <si>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</si>
  <si>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</si>
  <si>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</si>
  <si>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</si>
  <si>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</si>
  <si>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</si>
  <si>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</si>
  <si>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</si>
  <si>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</si>
  <si>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</si>
  <si>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</si>
  <si>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</si>
  <si>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</si>
  <si>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</si>
  <si>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</si>
  <si>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</si>
  <si>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</si>
  <si>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</si>
  <si>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</si>
  <si>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</si>
  <si>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</si>
  <si>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</si>
  <si>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</si>
  <si>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</si>
  <si>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</si>
  <si>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</si>
  <si>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</si>
  <si>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</si>
  <si>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</si>
  <si>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</si>
  <si>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</si>
  <si>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</si>
  <si>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</si>
  <si>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</si>
  <si>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</si>
  <si>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</si>
  <si>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</si>
  <si>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</si>
  <si>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</si>
  <si>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</si>
  <si>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</si>
  <si>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</si>
  <si>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</si>
  <si>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</si>
  <si>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</si>
  <si>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</si>
  <si>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</si>
  <si>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</si>
  <si>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</si>
  <si>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</si>
  <si>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</si>
  <si>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</si>
  <si>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</si>
  <si>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</si>
  <si>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</si>
  <si>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</si>
  <si>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</si>
  <si>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</si>
  <si>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</si>
  <si>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</si>
  <si>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</si>
  <si>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</si>
  <si>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</si>
  <si>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</si>
  <si>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</si>
  <si>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</si>
  <si>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</si>
  <si>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</si>
  <si>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</si>
  <si>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</si>
  <si>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</si>
  <si>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</si>
  <si>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</si>
  <si>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</si>
  <si>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</si>
  <si>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</si>
  <si>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</si>
  <si>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</si>
  <si>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</si>
  <si>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</si>
  <si>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</si>
  <si>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</si>
  <si>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</si>
  <si>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</si>
  <si>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</si>
  <si>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</si>
  <si>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</si>
  <si>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</si>
  <si>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</si>
  <si>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</si>
  <si>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</si>
  <si>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</si>
  <si>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</si>
  <si>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</si>
  <si>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</si>
  <si>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</si>
  <si>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</si>
  <si>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</si>
  <si>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</si>
  <si>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</si>
  <si>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</si>
  <si>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</si>
  <si>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</si>
  <si>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</si>
  <si>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</si>
  <si>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</si>
  <si>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</si>
  <si>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</si>
  <si>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</si>
  <si>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</si>
  <si>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</si>
  <si>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</si>
  <si>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</si>
  <si>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</si>
  <si>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</si>
  <si>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</si>
  <si>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</si>
  <si>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</si>
  <si>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</si>
  <si>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</si>
  <si>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</si>
  <si>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</si>
  <si>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</si>
  <si>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</si>
  <si>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</si>
  <si>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</si>
  <si>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</si>
  <si>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</si>
  <si>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</si>
  <si>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</si>
  <si>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</si>
  <si>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</si>
  <si>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</si>
  <si>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</si>
  <si>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</si>
  <si>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</si>
  <si>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</si>
  <si>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</si>
  <si>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</si>
  <si>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</si>
  <si>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</si>
  <si>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</si>
  <si>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</si>
  <si>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</si>
  <si>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</si>
  <si>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</si>
  <si>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</si>
  <si>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</si>
  <si>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</si>
  <si>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</si>
  <si>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</si>
  <si>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</si>
  <si>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</si>
  <si>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</si>
  <si>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</si>
  <si>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</si>
  <si>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</si>
  <si>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</si>
  <si>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</si>
  <si>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</si>
  <si>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</si>
  <si>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</si>
  <si>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</si>
  <si>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</si>
  <si>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</si>
  <si>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</si>
  <si>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</si>
  <si>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</si>
  <si>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</si>
  <si>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</si>
  <si>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</si>
  <si>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</si>
  <si>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</si>
  <si>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</si>
  <si>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</si>
  <si>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</si>
  <si>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</si>
  <si>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</si>
  <si>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</si>
  <si>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</si>
  <si>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</si>
  <si>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</si>
  <si>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</si>
  <si>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</si>
  <si>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</si>
  <si>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</si>
  <si>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</si>
  <si>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</si>
  <si>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</si>
  <si>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</si>
  <si>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</si>
  <si>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</si>
  <si>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</si>
  <si>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</si>
  <si>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</si>
  <si>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</si>
  <si>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</si>
  <si>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</si>
  <si>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</si>
  <si>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</si>
  <si>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</si>
  <si>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</si>
  <si>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</si>
  <si>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</si>
  <si>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</si>
  <si>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</si>
  <si>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</si>
  <si>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</si>
  <si>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</si>
  <si>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</si>
  <si>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</si>
  <si>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</si>
  <si>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</si>
  <si>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</si>
  <si>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</si>
  <si>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</si>
  <si>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</si>
  <si>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</si>
  <si>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</si>
  <si>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</si>
  <si>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</si>
  <si>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</si>
  <si>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</si>
  <si>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</si>
  <si>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</si>
  <si>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</si>
  <si>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</si>
  <si>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</si>
  <si>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</si>
  <si>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</si>
  <si>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</si>
  <si>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</si>
  <si>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</si>
  <si>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</si>
  <si>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</si>
  <si>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</si>
  <si>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</si>
  <si>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</si>
  <si>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</si>
  <si>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</si>
  <si>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</si>
  <si>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</si>
  <si>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</si>
  <si>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</si>
  <si>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</si>
  <si>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</si>
  <si>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</si>
  <si>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</si>
  <si>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</si>
  <si>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</si>
  <si>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</si>
  <si>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</si>
  <si>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</si>
  <si>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</si>
  <si>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</si>
  <si>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</si>
  <si>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</si>
  <si>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</si>
  <si>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</si>
  <si>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</si>
  <si>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</si>
  <si>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</si>
  <si>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</si>
  <si>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</si>
  <si>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</si>
  <si>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</si>
  <si>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</si>
  <si>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</si>
  <si>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</si>
  <si>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</si>
  <si>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</si>
  <si>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</si>
  <si>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</si>
  <si>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</si>
  <si>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</si>
  <si>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</si>
  <si>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</si>
  <si>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</si>
  <si>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</si>
  <si>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</si>
  <si>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</si>
  <si>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</si>
  <si>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</si>
  <si>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</si>
  <si>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</si>
  <si>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</si>
  <si>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</si>
  <si>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</si>
  <si>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</si>
  <si>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</si>
  <si>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</si>
  <si>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</si>
  <si>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</si>
  <si>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</si>
  <si>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</si>
  <si>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</si>
  <si>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</si>
  <si>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</si>
  <si>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</si>
  <si>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</si>
  <si>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</si>
  <si>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</si>
  <si>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</si>
  <si>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</si>
  <si>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</si>
  <si>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</si>
  <si>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</si>
  <si>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</si>
  <si>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</si>
  <si>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</si>
  <si>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</si>
  <si>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</si>
  <si>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</si>
  <si>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</si>
  <si>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</si>
  <si>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</si>
  <si>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</si>
  <si>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</si>
  <si>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</si>
  <si>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</si>
  <si>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</si>
  <si>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</si>
  <si>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</si>
  <si>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</si>
  <si>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</si>
  <si>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</si>
  <si>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</si>
  <si>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</si>
  <si>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</si>
  <si>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</si>
  <si>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</si>
  <si>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</si>
  <si>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</si>
  <si>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</si>
  <si>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</si>
  <si>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</si>
  <si>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</si>
  <si>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</si>
  <si>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</si>
  <si>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</si>
  <si>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</si>
  <si>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</si>
  <si>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</si>
  <si>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</si>
  <si>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</si>
  <si>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</si>
  <si>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</si>
  <si>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</si>
  <si>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</si>
  <si>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</si>
  <si>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</si>
  <si>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</si>
  <si>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</si>
  <si>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</si>
  <si>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</si>
  <si>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</si>
  <si>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</si>
  <si>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</si>
  <si>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</si>
  <si>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</si>
  <si>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</si>
  <si>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</si>
  <si>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</si>
  <si>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</si>
  <si>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</si>
  <si>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</si>
  <si>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</si>
  <si>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</si>
  <si>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</si>
  <si>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</si>
  <si>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</si>
  <si>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</si>
  <si>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</si>
  <si>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</si>
  <si>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</si>
  <si>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</si>
  <si>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</si>
  <si>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</si>
  <si>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</si>
  <si>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</si>
  <si>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</si>
  <si>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</si>
  <si>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</si>
  <si>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</si>
  <si>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</si>
  <si>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</si>
  <si>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</si>
  <si>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</si>
  <si>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</si>
  <si>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</si>
  <si>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</si>
  <si>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</si>
  <si>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</si>
  <si>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</si>
  <si>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</si>
  <si>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</si>
  <si>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</si>
  <si>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</si>
  <si>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</si>
  <si>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</si>
  <si>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</si>
  <si>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</si>
  <si>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</si>
  <si>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</si>
  <si>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</si>
  <si>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</si>
  <si>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</si>
  <si>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</si>
  <si>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</si>
  <si>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</si>
  <si>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</si>
  <si>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</si>
  <si>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</si>
  <si>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</si>
  <si>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</si>
  <si>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</si>
  <si>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</si>
  <si>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</si>
  <si>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</si>
  <si>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</si>
  <si>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</si>
  <si>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</si>
  <si>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</si>
  <si>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</si>
  <si>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</si>
  <si>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</si>
  <si>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</si>
  <si>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</si>
  <si>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</si>
  <si>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</si>
  <si>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</si>
  <si>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</si>
  <si>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</si>
  <si>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</si>
  <si>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</si>
  <si>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</si>
  <si>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</si>
  <si>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</si>
  <si>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</si>
  <si>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</si>
  <si>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</si>
  <si>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</si>
  <si>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</si>
  <si>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</si>
  <si>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</si>
  <si>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</si>
  <si>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</si>
  <si>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</si>
  <si>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</si>
  <si>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</si>
  <si>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</si>
  <si>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</si>
  <si>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</si>
  <si>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</si>
  <si>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</si>
  <si>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</si>
  <si>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</si>
  <si>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</si>
  <si>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</si>
  <si>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</si>
  <si>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</si>
  <si>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</si>
  <si>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</si>
  <si>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</si>
  <si>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</si>
  <si>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</si>
  <si>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</si>
  <si>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</si>
  <si>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</si>
  <si>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</si>
  <si>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</si>
  <si>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</si>
  <si>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</si>
  <si>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</si>
  <si>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</si>
  <si>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</si>
  <si>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</si>
  <si>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</si>
  <si>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</si>
  <si>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</si>
  <si>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</si>
  <si>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</si>
  <si>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</si>
  <si>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</si>
  <si>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</si>
  <si>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</si>
  <si>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</si>
  <si>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</si>
  <si>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</si>
  <si>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</si>
  <si>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</si>
  <si>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</si>
  <si>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</si>
  <si>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</si>
  <si>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</si>
  <si>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</si>
  <si>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</si>
  <si>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</si>
  <si>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</si>
  <si>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</si>
  <si>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</si>
  <si>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</si>
  <si>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</si>
  <si>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</si>
  <si>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</si>
  <si>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</si>
  <si>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</si>
  <si>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</si>
  <si>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</si>
  <si>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</si>
  <si>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</si>
  <si>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</si>
  <si>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</si>
  <si>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</si>
  <si>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</si>
  <si>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</si>
  <si>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</si>
  <si>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</si>
  <si>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</si>
  <si>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</si>
  <si>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</si>
  <si>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</si>
  <si>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</si>
  <si>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</si>
  <si>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</si>
  <si>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</si>
  <si>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</si>
  <si>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</si>
  <si>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</si>
  <si>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</si>
  <si>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</si>
  <si>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</si>
  <si>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</si>
  <si>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</si>
  <si>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</si>
  <si>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</si>
  <si>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</si>
  <si>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</si>
  <si>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</si>
  <si>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</si>
  <si>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</si>
  <si>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</si>
  <si>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</si>
  <si>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</si>
  <si>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</si>
  <si>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</si>
  <si>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</si>
  <si>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</si>
  <si>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</si>
  <si>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</si>
  <si>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</si>
  <si>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</si>
  <si>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</si>
  <si>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</si>
  <si>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</si>
  <si>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</si>
  <si>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</si>
  <si>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</si>
  <si>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</si>
  <si>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</si>
  <si>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</si>
  <si>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</si>
  <si>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</si>
  <si>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</si>
  <si>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</si>
  <si>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</si>
  <si>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</si>
  <si>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</si>
  <si>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</si>
  <si>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</si>
  <si>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</si>
  <si>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</si>
  <si>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</si>
  <si>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</si>
  <si>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</si>
  <si>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</si>
  <si>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</si>
  <si>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</si>
  <si>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</si>
  <si>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</si>
  <si>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</si>
  <si>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</si>
  <si>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</si>
  <si>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</si>
  <si>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</si>
  <si>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</si>
  <si>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</si>
  <si>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</si>
  <si>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</si>
  <si>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</si>
  <si>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</si>
  <si>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</si>
  <si>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</si>
  <si>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</si>
  <si>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</si>
  <si>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</si>
  <si>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</si>
  <si>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</si>
  <si>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</si>
  <si>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</si>
  <si>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</si>
  <si>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</si>
  <si>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</si>
  <si>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</si>
  <si>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</si>
  <si>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</si>
  <si>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</si>
  <si>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</si>
  <si>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</si>
  <si>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</si>
  <si>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</si>
  <si>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</si>
  <si>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</si>
  <si>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</si>
  <si>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</si>
  <si>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</si>
  <si>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</si>
  <si>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</si>
  <si>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</si>
  <si>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</si>
  <si>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</si>
  <si>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</si>
  <si>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</si>
  <si>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</si>
  <si>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</si>
  <si>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</si>
  <si>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</si>
  <si>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</si>
  <si>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</si>
  <si>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</si>
  <si>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</si>
  <si>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</si>
  <si>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</si>
  <si>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</si>
  <si>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</si>
  <si>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</si>
  <si>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</si>
  <si>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</si>
  <si>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</si>
  <si>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</si>
  <si>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</si>
  <si>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</si>
  <si>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</si>
  <si>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</si>
  <si>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</si>
  <si>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</si>
  <si>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</si>
  <si>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</si>
  <si>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</si>
  <si>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</si>
  <si>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</si>
  <si>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</si>
  <si>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</si>
  <si>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</si>
  <si>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</si>
  <si>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</si>
  <si>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</si>
  <si>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</si>
  <si>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</si>
  <si>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</si>
  <si>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</si>
  <si>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</si>
  <si>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</si>
  <si>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</si>
  <si>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</si>
  <si>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</si>
  <si>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</si>
  <si>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</si>
  <si>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</si>
  <si>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</si>
  <si>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</si>
  <si>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</si>
  <si>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</si>
  <si>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</si>
  <si>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</si>
  <si>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</si>
  <si>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</si>
  <si>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</si>
  <si>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</si>
  <si>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</si>
  <si>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</si>
  <si>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</si>
  <si>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</si>
  <si>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</si>
  <si>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</si>
  <si>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</si>
  <si>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</si>
  <si>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</si>
  <si>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</si>
  <si>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</si>
  <si>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</si>
  <si>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</si>
  <si>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</si>
  <si>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</si>
  <si>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</si>
  <si>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</si>
  <si>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</si>
  <si>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</si>
  <si>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</si>
  <si>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</si>
  <si>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</si>
  <si>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</si>
  <si>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</si>
  <si>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</si>
  <si>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</si>
  <si>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</si>
  <si>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</si>
  <si>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</si>
  <si>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</si>
  <si>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</si>
  <si>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</si>
  <si>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</si>
  <si>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</si>
  <si>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</si>
  <si>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</si>
  <si>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</si>
  <si>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</si>
  <si>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</si>
  <si>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</si>
  <si>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</si>
  <si>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</si>
  <si>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</si>
  <si>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</si>
  <si>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</si>
  <si>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</si>
  <si>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</si>
  <si>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</si>
  <si>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</si>
  <si>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</si>
  <si>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</si>
  <si>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</si>
  <si>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</si>
  <si>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</si>
  <si>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</si>
  <si>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</si>
  <si>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</si>
  <si>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</si>
  <si>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</si>
  <si>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</si>
  <si>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</si>
  <si>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</si>
  <si>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</si>
  <si>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</si>
  <si>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</si>
  <si>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</si>
  <si>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</si>
  <si>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</si>
  <si>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</si>
  <si>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</si>
  <si>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</si>
  <si>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</si>
  <si>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</si>
  <si>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</si>
  <si>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</si>
  <si>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</si>
  <si>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</si>
  <si>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</si>
  <si>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</si>
  <si>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</si>
  <si>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</si>
  <si>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</si>
  <si>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</si>
  <si>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</si>
  <si>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</si>
  <si>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</si>
  <si>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</si>
  <si>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</si>
  <si>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</si>
  <si>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</si>
  <si>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</si>
  <si>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</si>
  <si>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</si>
  <si>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</si>
  <si>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</si>
  <si>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</si>
  <si>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</si>
  <si>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</si>
  <si>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</si>
  <si>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</si>
  <si>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</si>
  <si>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</si>
  <si>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</si>
  <si>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</si>
  <si>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</si>
  <si>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</si>
  <si>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</si>
  <si>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</si>
  <si>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</si>
  <si>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</si>
  <si>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</si>
  <si>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</si>
  <si>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</si>
  <si>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</si>
  <si>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</si>
  <si>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</si>
  <si>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</si>
  <si>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</si>
  <si>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</si>
  <si>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</si>
  <si>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</si>
  <si>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</si>
  <si>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</si>
  <si>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</si>
  <si>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</si>
  <si>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</si>
  <si>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</si>
  <si>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</si>
  <si>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</si>
  <si>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</si>
  <si>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</si>
  <si>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</si>
  <si>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</si>
  <si>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</si>
  <si>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</si>
  <si>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</si>
  <si>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</si>
  <si>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</si>
  <si>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</si>
  <si>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</si>
  <si>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</si>
  <si>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</si>
  <si>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</si>
  <si>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</si>
  <si>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</si>
  <si>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</si>
  <si>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</si>
  <si>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</si>
  <si>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</si>
  <si>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</si>
  <si>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</si>
  <si>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</si>
  <si>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</si>
  <si>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</si>
  <si>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</si>
  <si>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</si>
  <si>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</si>
  <si>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</si>
  <si>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</si>
  <si>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</si>
  <si>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</si>
  <si>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</si>
  <si>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</si>
  <si>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</si>
  <si>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</si>
  <si>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</si>
  <si>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</si>
  <si>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</si>
  <si>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</si>
  <si>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</si>
  <si>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</si>
  <si>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</si>
  <si>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</si>
  <si>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</si>
  <si>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</si>
  <si>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</si>
  <si>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</si>
  <si>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</si>
  <si>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</si>
  <si>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</si>
  <si>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</si>
  <si>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</si>
  <si>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</si>
  <si>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</si>
  <si>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</si>
  <si>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</si>
  <si>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</si>
  <si>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</si>
  <si>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</si>
  <si>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</si>
  <si>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</si>
  <si>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</si>
  <si>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</si>
  <si>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</si>
  <si>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</si>
  <si>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</si>
  <si>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</si>
  <si>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</si>
  <si>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</si>
  <si>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</si>
  <si>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</si>
  <si>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</si>
  <si>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</si>
  <si>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</si>
  <si>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</si>
  <si>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</si>
  <si>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</si>
  <si>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</si>
  <si>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</si>
  <si>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</si>
  <si>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</si>
  <si>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</si>
  <si>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</si>
  <si>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</si>
  <si>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</si>
  <si>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</si>
  <si>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</si>
  <si>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</si>
  <si>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</si>
  <si>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</si>
  <si>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</si>
  <si>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</si>
  <si>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</si>
  <si>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</si>
  <si>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</si>
  <si>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</si>
  <si>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</si>
  <si>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</si>
  <si>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</si>
  <si>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</si>
  <si>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</si>
  <si>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</si>
  <si>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</si>
  <si>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</si>
  <si>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</si>
  <si>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</si>
  <si>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</si>
  <si>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</si>
  <si>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</si>
  <si>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</si>
  <si>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</si>
  <si>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</si>
  <si>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</si>
  <si>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</si>
  <si>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</si>
  <si>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</si>
  <si>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</si>
  <si>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</si>
  <si>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</si>
  <si>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</si>
  <si>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</si>
  <si>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</si>
  <si>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</si>
  <si>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</si>
  <si>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</si>
  <si>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</si>
  <si>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</si>
  <si>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</si>
  <si>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</si>
  <si>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</si>
  <si>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</si>
  <si>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</si>
  <si>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</si>
  <si>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</si>
  <si>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</si>
  <si>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</si>
  <si>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</si>
  <si>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</si>
  <si>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</si>
  <si>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</si>
  <si>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</si>
  <si>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</si>
  <si>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</si>
  <si>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</si>
  <si>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</si>
  <si>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</si>
  <si>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</si>
  <si>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</si>
  <si>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</si>
  <si>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</si>
  <si>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</si>
  <si>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</si>
  <si>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</si>
  <si>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</si>
  <si>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</si>
  <si>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</si>
  <si>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</si>
  <si>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</si>
  <si>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</si>
  <si>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</si>
  <si>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</si>
  <si>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</si>
  <si>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</si>
  <si>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</si>
  <si>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</si>
  <si>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</si>
  <si>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</si>
  <si>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</si>
  <si>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</si>
  <si>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</si>
  <si>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</si>
  <si>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</si>
  <si>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</si>
  <si>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</si>
  <si>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</si>
  <si>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</si>
  <si>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</si>
  <si>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</si>
  <si>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</si>
  <si>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</si>
  <si>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</si>
  <si>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</si>
  <si>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</si>
  <si>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</si>
  <si>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</si>
  <si>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</si>
  <si>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</si>
  <si>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</si>
  <si>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</si>
  <si>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</si>
  <si>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</si>
  <si>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</si>
  <si>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</si>
  <si>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</si>
  <si>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</si>
  <si>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</si>
  <si>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</si>
  <si>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</si>
  <si>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</si>
  <si>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</si>
  <si>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</si>
  <si>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</si>
  <si>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</si>
  <si>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</si>
  <si>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</si>
  <si>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</si>
  <si>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</si>
  <si>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</si>
  <si>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</si>
  <si>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</si>
  <si>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</si>
  <si>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</si>
  <si>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</si>
  <si>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</si>
  <si>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</si>
  <si>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</si>
  <si>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</si>
  <si>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</si>
  <si>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</si>
  <si>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</si>
  <si>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</si>
  <si>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</si>
  <si>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</si>
  <si>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</si>
  <si>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</si>
  <si>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</si>
  <si>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</si>
  <si>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</si>
  <si>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</si>
  <si>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</si>
  <si>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</si>
  <si>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</si>
  <si>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</si>
  <si>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</si>
  <si>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</si>
  <si>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</si>
  <si>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</si>
  <si>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</si>
  <si>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</si>
  <si>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</si>
  <si>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</si>
  <si>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</si>
  <si>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</si>
  <si>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</si>
  <si>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</si>
  <si>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</si>
  <si>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</si>
  <si>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</si>
  <si>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</si>
  <si>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</si>
  <si>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</si>
  <si>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</si>
  <si>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</si>
  <si>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</si>
  <si>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</si>
  <si>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</si>
  <si>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</si>
  <si>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</si>
  <si>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</si>
  <si>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</si>
  <si>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</si>
  <si>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</si>
  <si>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</si>
  <si>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</si>
  <si>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</si>
  <si>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</si>
  <si>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</si>
  <si>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</si>
  <si>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</si>
  <si>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</si>
  <si>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</si>
  <si>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</si>
  <si>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</si>
  <si>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</si>
  <si>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</si>
  <si>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</si>
  <si>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</si>
  <si>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</si>
  <si>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</si>
  <si>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</si>
  <si>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</si>
  <si>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</si>
  <si>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</si>
  <si>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</si>
  <si>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</si>
  <si>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</si>
  <si>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</si>
  <si>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</si>
  <si>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</si>
  <si>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</si>
  <si>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</si>
  <si>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</si>
  <si>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</si>
  <si>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</si>
  <si>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</si>
  <si>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</si>
  <si>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</si>
  <si>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</si>
  <si>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</si>
  <si>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</si>
  <si>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</si>
  <si>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</si>
  <si>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</si>
  <si>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</si>
  <si>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</si>
  <si>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</si>
  <si>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</si>
  <si>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</si>
  <si>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</si>
  <si>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</si>
  <si>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</si>
  <si>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</si>
  <si>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</si>
  <si>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</si>
  <si>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</si>
  <si>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</si>
  <si>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</si>
  <si>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</si>
  <si>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</si>
  <si>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</si>
  <si>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</si>
  <si>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</si>
  <si>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</si>
  <si>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</si>
  <si>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</si>
  <si>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</si>
  <si>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</si>
  <si>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</si>
  <si>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</si>
  <si>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</si>
  <si>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</si>
  <si>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</si>
  <si>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</si>
  <si>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</si>
  <si>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</si>
  <si>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</si>
  <si>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</si>
  <si>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</si>
  <si>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</si>
  <si>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</si>
  <si>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</si>
  <si>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</si>
  <si>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</si>
  <si>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</si>
  <si>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</si>
  <si>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</si>
  <si>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</si>
  <si>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</si>
  <si>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</si>
  <si>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</si>
  <si>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</si>
  <si>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</si>
  <si>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</si>
  <si>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</si>
  <si>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</si>
  <si>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</si>
  <si>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</si>
  <si>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</si>
  <si>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</si>
  <si>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</si>
  <si>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</si>
  <si>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</si>
  <si>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</si>
  <si>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</si>
  <si>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</si>
  <si>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</si>
  <si>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</si>
  <si>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</si>
  <si>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</si>
  <si>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</si>
  <si>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</si>
  <si>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</si>
  <si>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</si>
  <si>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</si>
  <si>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</si>
  <si>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</si>
  <si>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</si>
  <si>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</si>
  <si>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</si>
  <si>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</si>
  <si>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</si>
  <si>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</si>
  <si>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</si>
  <si>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</si>
  <si>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</si>
  <si>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</si>
  <si>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</si>
  <si>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</si>
  <si>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</si>
  <si>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</si>
  <si>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</si>
  <si>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</si>
  <si>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</si>
  <si>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</si>
  <si>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</si>
  <si>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</si>
  <si>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</si>
  <si>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</si>
  <si>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</si>
  <si>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</si>
  <si>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</si>
  <si>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</si>
  <si>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</si>
  <si>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</si>
  <si>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</si>
  <si>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</si>
  <si>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</si>
  <si>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</si>
  <si>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</si>
  <si>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</si>
  <si>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</si>
  <si>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</si>
  <si>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</si>
  <si>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</si>
  <si>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</si>
  <si>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</si>
  <si>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</si>
  <si>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</si>
  <si>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</si>
  <si>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</si>
  <si>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</si>
  <si>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</si>
  <si>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</si>
  <si>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</si>
  <si>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</si>
  <si>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</si>
  <si>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</si>
  <si>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</si>
  <si>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</si>
  <si>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</si>
  <si>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</si>
  <si>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</si>
  <si>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</si>
  <si>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</si>
  <si>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</si>
  <si>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</si>
  <si>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</si>
  <si>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</si>
  <si>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</si>
  <si>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</si>
  <si>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</si>
  <si>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</si>
  <si>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</si>
  <si>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</si>
  <si>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</si>
  <si>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</si>
  <si>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</si>
  <si>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</si>
  <si>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</si>
  <si>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</si>
  <si>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</si>
  <si>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</si>
  <si>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</si>
  <si>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</si>
  <si>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</si>
  <si>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</si>
  <si>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</si>
  <si>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</si>
  <si>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</si>
  <si>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</si>
  <si>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</si>
  <si>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</si>
  <si>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</si>
  <si>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</si>
  <si>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</si>
  <si>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</si>
  <si>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</si>
  <si>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</si>
  <si>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</si>
  <si>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</si>
  <si>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</si>
  <si>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</si>
  <si>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</si>
  <si>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</si>
  <si>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</si>
  <si>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</si>
  <si>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</si>
  <si>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</si>
  <si>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</si>
  <si>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</si>
  <si>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</si>
  <si>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</si>
  <si>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</si>
  <si>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</si>
  <si>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</si>
  <si>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</si>
  <si>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</si>
  <si>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</si>
  <si>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</si>
  <si>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</si>
  <si>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</si>
  <si>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</si>
  <si>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</si>
  <si>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</si>
  <si>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</si>
  <si>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</si>
  <si>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</si>
  <si>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</si>
  <si>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</si>
  <si>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</si>
  <si>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</si>
  <si>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</si>
  <si>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</si>
  <si>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</si>
  <si>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</si>
  <si>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</si>
  <si>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</si>
  <si>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</si>
  <si>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</si>
  <si>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</si>
  <si>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</si>
  <si>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</si>
  <si>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</si>
  <si>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</si>
  <si>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</si>
  <si>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</si>
  <si>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</si>
  <si>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</si>
  <si>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</si>
  <si>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</si>
  <si>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</si>
  <si>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</si>
  <si>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</si>
  <si>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</si>
  <si>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</si>
  <si>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</si>
  <si>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</si>
  <si>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</si>
  <si>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</si>
  <si>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</si>
  <si>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</si>
  <si>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</si>
  <si>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</si>
  <si>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</si>
  <si>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</si>
  <si>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</si>
  <si>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</si>
  <si>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</si>
  <si>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</si>
  <si>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</si>
  <si>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</si>
  <si>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</si>
  <si>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</si>
  <si>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</si>
  <si>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</si>
  <si>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</si>
  <si>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</si>
  <si>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</si>
  <si>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</si>
  <si>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</si>
  <si>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</si>
  <si>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</si>
  <si>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</si>
  <si>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</si>
  <si>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</si>
  <si>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</si>
  <si>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</si>
  <si>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</si>
  <si>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</si>
  <si>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</si>
  <si>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</si>
  <si>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</si>
  <si>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</si>
  <si>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</si>
  <si>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</si>
  <si>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</si>
  <si>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</si>
  <si>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</si>
  <si>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</si>
  <si>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</si>
  <si>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</si>
  <si>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</si>
  <si>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</si>
  <si>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</si>
  <si>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</si>
  <si>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</si>
  <si>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</si>
  <si>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</si>
  <si>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</si>
  <si>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</si>
  <si>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</si>
  <si>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</si>
  <si>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</si>
  <si>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</si>
  <si>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</si>
  <si>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</si>
  <si>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</si>
  <si>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</si>
  <si>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</si>
  <si>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</si>
  <si>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</si>
  <si>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</si>
  <si>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</si>
  <si>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</si>
  <si>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</si>
  <si>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</si>
  <si>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</si>
  <si>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</si>
  <si>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</si>
  <si>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</si>
  <si>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</si>
  <si>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</si>
  <si>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</si>
  <si>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</si>
  <si>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</si>
  <si>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</si>
  <si>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</si>
  <si>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</si>
  <si>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</si>
  <si>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</si>
  <si>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</si>
  <si>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</si>
  <si>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</si>
  <si>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</si>
  <si>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</si>
  <si>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</si>
  <si>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</si>
  <si>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</si>
  <si>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</si>
  <si>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</si>
  <si>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</si>
  <si>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</si>
  <si>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</si>
  <si>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</si>
  <si>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</si>
  <si>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</si>
  <si>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</si>
  <si>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</si>
  <si>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</si>
  <si>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</si>
  <si>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</si>
  <si>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</si>
  <si>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</si>
  <si>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</si>
  <si>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</si>
  <si>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</si>
  <si>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</si>
  <si>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</si>
  <si>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</si>
  <si>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</si>
  <si>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</si>
  <si>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</si>
  <si>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</si>
  <si>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</si>
  <si>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</si>
  <si>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</si>
  <si>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</si>
  <si>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</si>
  <si>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</si>
  <si>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</si>
  <si>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</si>
  <si>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</si>
  <si>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</si>
  <si>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</si>
  <si>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</si>
  <si>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</si>
  <si>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</si>
  <si>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</si>
  <si>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</si>
  <si>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</si>
  <si>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</si>
  <si>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</si>
  <si>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</si>
  <si>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</si>
  <si>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</si>
  <si>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</si>
  <si>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</si>
  <si>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</si>
  <si>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</si>
  <si>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</si>
  <si>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</si>
  <si>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</si>
  <si>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</si>
  <si>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</si>
  <si>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</si>
  <si>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</si>
  <si>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</si>
  <si>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</si>
  <si>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</si>
  <si>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</si>
  <si>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</si>
  <si>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</si>
  <si>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</si>
  <si>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</si>
  <si>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</si>
  <si>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</si>
  <si>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</si>
  <si>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</si>
  <si>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</si>
  <si>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</si>
  <si>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</si>
  <si>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</si>
  <si>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</si>
  <si>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</si>
  <si>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</si>
  <si>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</si>
  <si>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</si>
  <si>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</si>
  <si>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</si>
  <si>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</si>
  <si>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</si>
  <si>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</si>
  <si>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</si>
  <si>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</si>
  <si>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</si>
  <si>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</si>
  <si>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</si>
  <si>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</si>
  <si>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</si>
  <si>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</si>
  <si>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</si>
  <si>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</si>
  <si>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</si>
  <si>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</si>
  <si>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</si>
  <si>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</si>
  <si>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</si>
  <si>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</si>
  <si>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</si>
  <si>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</si>
  <si>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</si>
  <si>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</si>
  <si>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</si>
  <si>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</si>
  <si>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</si>
  <si>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</si>
  <si>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</si>
  <si>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</si>
  <si>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</si>
  <si>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</si>
  <si>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</si>
  <si>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</si>
  <si>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</si>
  <si>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</si>
  <si>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</si>
  <si>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</si>
  <si>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</si>
  <si>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</si>
  <si>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</si>
  <si>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</si>
  <si>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</si>
  <si>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</si>
  <si>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</si>
  <si>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</si>
  <si>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</si>
  <si>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</si>
  <si>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</si>
  <si>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</si>
  <si>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</si>
  <si>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</si>
  <si>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</si>
  <si>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</si>
  <si>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</si>
  <si>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</si>
  <si>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</si>
  <si>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</si>
  <si>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</si>
  <si>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</si>
  <si>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</si>
  <si>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</si>
  <si>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</si>
  <si>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</si>
  <si>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</si>
  <si>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</si>
  <si>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</si>
  <si>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</si>
  <si>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</si>
  <si>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</si>
  <si>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</si>
  <si>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</si>
  <si>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</si>
  <si>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</si>
  <si>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</si>
  <si>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</si>
  <si>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</si>
  <si>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</si>
  <si>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</si>
  <si>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</si>
  <si>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</si>
  <si>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</si>
  <si>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</si>
  <si>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</si>
  <si>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</si>
  <si>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</si>
  <si>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</si>
  <si>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</si>
  <si>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</si>
  <si>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</si>
  <si>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</si>
  <si>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</si>
  <si>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</si>
  <si>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</si>
  <si>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</si>
  <si>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</si>
  <si>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</si>
  <si>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</si>
  <si>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</si>
  <si>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</si>
  <si>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</si>
  <si>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</si>
  <si>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</si>
  <si>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</si>
  <si>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</si>
  <si>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</si>
  <si>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</si>
  <si>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</si>
  <si>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</si>
  <si>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</si>
  <si>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</si>
  <si>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</si>
  <si>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</si>
  <si>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</si>
  <si>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</si>
  <si>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</si>
  <si>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</si>
  <si>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</si>
  <si>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</si>
  <si>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</si>
  <si>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</si>
  <si>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</si>
  <si>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</si>
  <si>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</si>
  <si>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</si>
  <si>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</si>
  <si>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</si>
  <si>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</si>
  <si>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</si>
  <si>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</si>
  <si>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</si>
  <si>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</si>
  <si>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</si>
  <si>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</si>
  <si>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</si>
  <si>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</si>
  <si>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</si>
  <si>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</si>
  <si>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</si>
  <si>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</si>
  <si>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</si>
  <si>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</si>
  <si>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</si>
  <si>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</si>
  <si>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</si>
  <si>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</si>
  <si>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</si>
  <si>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</si>
  <si>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</si>
  <si>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</si>
  <si>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</si>
  <si>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</si>
  <si>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</si>
  <si>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</si>
  <si>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</si>
  <si>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</si>
  <si>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</si>
  <si>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</si>
  <si>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</si>
  <si>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</si>
  <si>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</si>
  <si>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</si>
  <si>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</si>
  <si>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</si>
  <si>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</si>
  <si>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</si>
  <si>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</si>
  <si>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</si>
  <si>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</si>
  <si>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</si>
  <si>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</si>
  <si>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</si>
  <si>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</si>
  <si>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</si>
  <si>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</si>
  <si>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</si>
  <si>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</si>
  <si>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</si>
  <si>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</si>
  <si>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</si>
  <si>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</si>
  <si>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</si>
  <si>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</si>
  <si>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</si>
  <si>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</si>
  <si>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</si>
  <si>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</si>
  <si>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</si>
  <si>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</si>
  <si>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</si>
  <si>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</si>
  <si>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</si>
  <si>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</si>
  <si>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</si>
  <si>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</si>
  <si>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</si>
  <si>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</si>
  <si>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</si>
  <si>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</si>
  <si>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</si>
  <si>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</si>
  <si>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</si>
  <si>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</si>
  <si>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</si>
  <si>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</si>
  <si>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</si>
  <si>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</si>
  <si>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</si>
  <si>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</si>
  <si>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</si>
  <si>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</si>
  <si>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</si>
  <si>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</si>
  <si>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</si>
  <si>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</si>
  <si>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</si>
  <si>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</si>
  <si>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</si>
  <si>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</si>
  <si>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</si>
  <si>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</si>
  <si>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</si>
  <si>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</si>
  <si>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</si>
  <si>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</si>
  <si>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</si>
  <si>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</si>
  <si>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</si>
  <si>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</si>
  <si>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</si>
  <si>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</si>
  <si>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</si>
  <si>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</si>
  <si>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</si>
  <si>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</si>
  <si>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</si>
  <si>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</si>
  <si>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</si>
  <si>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</si>
  <si>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</si>
  <si>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</si>
  <si>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</si>
  <si>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</si>
  <si>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</si>
  <si>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</si>
  <si>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</si>
  <si>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</si>
  <si>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</si>
  <si>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</si>
  <si>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</si>
  <si>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</si>
  <si>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</si>
  <si>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</si>
  <si>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</si>
  <si>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</si>
  <si>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</si>
  <si>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</si>
  <si>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</si>
  <si>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</si>
  <si>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</si>
  <si>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</si>
  <si>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</si>
  <si>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</si>
  <si>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</si>
  <si>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</si>
  <si>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</si>
  <si>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</si>
  <si>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</si>
  <si>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</si>
  <si>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</si>
  <si>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</si>
  <si>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</si>
  <si>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</si>
  <si>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</si>
  <si>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</si>
  <si>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</si>
  <si>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</si>
  <si>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</si>
  <si>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</si>
  <si>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</si>
  <si>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</si>
  <si>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</si>
  <si>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</si>
  <si>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</si>
  <si>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</si>
  <si>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</si>
  <si>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</si>
  <si>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</si>
  <si>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</si>
  <si>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</si>
  <si>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</si>
  <si>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</si>
  <si>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</si>
  <si>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</si>
  <si>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</si>
  <si>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</si>
  <si>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</si>
  <si>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</si>
  <si>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</si>
  <si>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</si>
  <si>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</si>
  <si>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</si>
  <si>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</si>
  <si>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</si>
  <si>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</si>
  <si>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</si>
  <si>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</si>
  <si>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</si>
  <si>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</si>
  <si>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</si>
  <si>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</si>
  <si>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</si>
  <si>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</si>
  <si>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</si>
  <si>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</si>
  <si>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</si>
  <si>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</si>
  <si>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</si>
  <si>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</si>
  <si>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</si>
  <si>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</si>
  <si>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</si>
  <si>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</si>
  <si>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</si>
  <si>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</si>
  <si>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</si>
  <si>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</si>
  <si>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</si>
  <si>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</si>
  <si>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</si>
  <si>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</si>
  <si>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</si>
  <si>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</si>
  <si>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</si>
  <si>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</si>
  <si>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</si>
  <si>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</si>
  <si>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</si>
  <si>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</si>
  <si>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</si>
  <si>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</si>
  <si>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</si>
  <si>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</si>
  <si>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</si>
  <si>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</si>
  <si>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</si>
  <si>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</si>
  <si>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</si>
  <si>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</si>
  <si>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</si>
  <si>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</si>
  <si>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</si>
  <si>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</si>
  <si>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</si>
  <si>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</si>
  <si>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</si>
  <si>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</si>
  <si>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</si>
  <si>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</si>
  <si>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</si>
  <si>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</si>
  <si>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</si>
  <si>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</si>
  <si>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</si>
  <si>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</si>
  <si>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</si>
  <si>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</si>
  <si>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</si>
  <si>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</si>
  <si>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</si>
  <si>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</si>
  <si>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</si>
  <si>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</si>
  <si>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</si>
  <si>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</si>
  <si>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</si>
  <si>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</si>
  <si>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</si>
  <si>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</si>
  <si>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</si>
  <si>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</si>
  <si>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</si>
  <si>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</si>
  <si>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</si>
  <si>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</si>
  <si>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</si>
  <si>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</si>
  <si>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</si>
  <si>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</si>
  <si>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</si>
  <si>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</si>
  <si>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</si>
  <si>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</si>
  <si>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</si>
  <si>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</si>
  <si>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</si>
  <si>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</si>
  <si>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</si>
  <si>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</si>
  <si>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</si>
  <si>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</si>
  <si>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</si>
  <si>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</si>
  <si>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</si>
  <si>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</si>
  <si>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</si>
  <si>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</si>
  <si>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</si>
  <si>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</si>
  <si>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</si>
  <si>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</si>
  <si>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</si>
  <si>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</si>
  <si>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</si>
  <si>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</si>
  <si>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</si>
  <si>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</si>
  <si>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</si>
  <si>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</si>
  <si>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</si>
  <si>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</si>
  <si>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</si>
  <si>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</si>
  <si>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</si>
  <si>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</si>
  <si>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</si>
  <si>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</si>
  <si>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</si>
  <si>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</si>
  <si>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</si>
  <si>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</si>
  <si>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</si>
  <si>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</si>
  <si>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</si>
  <si>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</si>
  <si>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</si>
  <si>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</si>
  <si>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</si>
  <si>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</si>
  <si>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</si>
  <si>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</si>
  <si>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</si>
  <si>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</si>
  <si>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</si>
  <si>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</si>
  <si>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</si>
  <si>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</si>
  <si>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</si>
  <si>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</si>
  <si>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</si>
  <si>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</si>
  <si>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</si>
  <si>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</si>
  <si>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</si>
  <si>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</si>
  <si>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</si>
  <si>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</si>
  <si>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</si>
  <si>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</si>
  <si>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</si>
  <si>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</si>
  <si>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</si>
  <si>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</si>
  <si>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</si>
  <si>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</si>
  <si>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</si>
  <si>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</si>
  <si>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</si>
  <si>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</si>
  <si>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</si>
  <si>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</si>
  <si>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</si>
  <si>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</si>
  <si>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</si>
  <si>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</si>
  <si>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</si>
  <si>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</si>
  <si>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</si>
  <si>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</si>
  <si>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</si>
  <si>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</si>
  <si>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</si>
  <si>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</si>
  <si>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</si>
  <si>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</si>
  <si>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</si>
  <si>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</si>
  <si>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</si>
  <si>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</si>
  <si>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</si>
  <si>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</si>
  <si>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</si>
  <si>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</si>
  <si>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</si>
  <si>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</si>
  <si>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</si>
  <si>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</si>
  <si>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</si>
  <si>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</si>
  <si>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</si>
  <si>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</si>
  <si>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</si>
  <si>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</si>
  <si>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</si>
  <si>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</si>
  <si>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</si>
  <si>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</si>
  <si>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</si>
  <si>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</si>
  <si>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</si>
  <si>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</si>
  <si>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</si>
  <si>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</si>
  <si>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</si>
  <si>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</si>
  <si>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</si>
  <si>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</si>
  <si>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</si>
  <si>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</si>
  <si>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</si>
  <si>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</si>
  <si>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</si>
  <si>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</si>
  <si>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</si>
  <si>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</si>
  <si>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</si>
  <si>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</si>
  <si>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</si>
  <si>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</si>
  <si>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</si>
  <si>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</si>
  <si>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</si>
  <si>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</si>
  <si>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</si>
  <si>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</si>
  <si>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</si>
  <si>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</si>
  <si>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</si>
  <si>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</si>
  <si>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</si>
  <si>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</si>
  <si>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</si>
  <si>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</si>
  <si>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</si>
  <si>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</si>
  <si>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</si>
  <si>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</si>
  <si>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</si>
  <si>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</si>
  <si>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</si>
  <si>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</si>
  <si>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</si>
  <si>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</si>
  <si>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</si>
  <si>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</si>
  <si>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</si>
  <si>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</si>
  <si>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</si>
  <si>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</si>
  <si>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</si>
  <si>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</si>
  <si>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</si>
  <si>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</si>
  <si>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</si>
  <si>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</si>
  <si>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</si>
  <si>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</si>
  <si>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</si>
  <si>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</si>
  <si>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</si>
  <si>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</si>
  <si>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</si>
  <si>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</si>
  <si>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</si>
  <si>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</si>
  <si>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</si>
  <si>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</si>
  <si>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</si>
  <si>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</si>
  <si>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</si>
  <si>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</si>
  <si>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</si>
  <si>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</si>
  <si>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</si>
  <si>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</si>
  <si>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</si>
  <si>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</si>
  <si>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</si>
  <si>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</si>
  <si>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</si>
  <si>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</si>
  <si>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</si>
  <si>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</si>
  <si>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</si>
  <si>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</si>
  <si>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</si>
  <si>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</si>
  <si>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</si>
  <si>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</si>
  <si>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</si>
  <si>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</si>
  <si>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</si>
  <si>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</si>
  <si>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</si>
  <si>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</si>
  <si>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</si>
  <si>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</si>
  <si>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</si>
  <si>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</si>
  <si>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</si>
  <si>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</si>
  <si>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</si>
  <si>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</si>
  <si>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</si>
  <si>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</si>
  <si>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</si>
  <si>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</si>
  <si>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</si>
  <si>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</si>
  <si>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</si>
  <si>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</si>
  <si>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</si>
  <si>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</si>
  <si>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</si>
  <si>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</si>
  <si>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</si>
  <si>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</si>
  <si>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</si>
  <si>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</si>
  <si>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</si>
  <si>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</si>
  <si>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</si>
  <si>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</si>
  <si>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</si>
  <si>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</si>
  <si>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</si>
  <si>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</si>
  <si>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</si>
  <si>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</si>
  <si>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</si>
  <si>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</si>
  <si>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</si>
  <si>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</si>
  <si>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</si>
  <si>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</si>
  <si>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</si>
  <si>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</si>
  <si>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</si>
  <si>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</si>
  <si>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</si>
  <si>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</si>
  <si>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</si>
  <si>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</si>
  <si>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</si>
  <si>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</si>
  <si>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</si>
  <si>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</si>
  <si>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</si>
  <si>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</si>
  <si>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</si>
  <si>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</si>
  <si>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</si>
  <si>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</si>
  <si>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</si>
  <si>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</si>
  <si>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</si>
  <si>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</si>
  <si>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</si>
  <si>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</si>
  <si>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</si>
  <si>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</si>
  <si>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</si>
  <si>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</si>
  <si>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</si>
  <si>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</si>
  <si>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</si>
  <si>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</si>
  <si>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</si>
  <si>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</si>
  <si>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</si>
  <si>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</si>
  <si>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</si>
  <si>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</si>
  <si>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</si>
  <si>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</si>
  <si>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</si>
  <si>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</si>
  <si>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</si>
  <si>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</si>
  <si>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</si>
  <si>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</si>
  <si>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</si>
  <si>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</si>
  <si>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</si>
  <si>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</si>
  <si>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</si>
  <si>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</si>
  <si>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</si>
  <si>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</si>
  <si>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</si>
  <si>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</si>
  <si>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</si>
  <si>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</si>
  <si>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</si>
  <si>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</si>
  <si>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</si>
  <si>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</si>
  <si>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</si>
  <si>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</si>
  <si>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</si>
  <si>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</si>
  <si>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</si>
  <si>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</si>
  <si>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</si>
  <si>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</si>
  <si>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</si>
  <si>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</si>
  <si>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</si>
  <si>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</si>
  <si>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</si>
  <si>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</si>
  <si>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</si>
  <si>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</si>
  <si>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</si>
  <si>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</si>
  <si>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</si>
  <si>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</si>
  <si>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</si>
  <si>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</si>
  <si>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</si>
  <si>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</si>
  <si>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</si>
  <si>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</si>
  <si>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</si>
  <si>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</si>
  <si>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</si>
  <si>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</si>
  <si>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</si>
  <si>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</si>
  <si>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</si>
  <si>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</si>
  <si>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</si>
  <si>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</si>
  <si>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</si>
  <si>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</si>
  <si>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</si>
  <si>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</si>
  <si>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</si>
  <si>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</si>
  <si>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</si>
  <si>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</si>
  <si>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</si>
  <si>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</si>
  <si>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</si>
  <si>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</si>
  <si>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</si>
  <si>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</si>
  <si>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</si>
  <si>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</si>
  <si>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</si>
  <si>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</si>
  <si>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</si>
  <si>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</si>
  <si>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</si>
  <si>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</si>
  <si>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</si>
  <si>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</si>
  <si>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</si>
  <si>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</si>
  <si>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</si>
  <si>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</si>
  <si>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</si>
  <si>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</si>
  <si>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</si>
  <si>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</si>
  <si>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</si>
  <si>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</si>
  <si>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</si>
  <si>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</si>
  <si>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</si>
  <si>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</si>
  <si>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</si>
  <si>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</si>
  <si>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</si>
  <si>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</si>
  <si>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</si>
  <si>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</si>
  <si>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</si>
  <si>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</si>
  <si>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</si>
  <si>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</si>
  <si>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</si>
  <si>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</si>
  <si>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</si>
  <si>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</si>
  <si>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</si>
  <si>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</si>
  <si>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</si>
  <si>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</si>
  <si>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</si>
  <si>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</si>
  <si>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</si>
  <si>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</si>
  <si>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</si>
  <si>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</si>
  <si>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</si>
  <si>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</si>
  <si>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</si>
  <si>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</si>
  <si>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</si>
  <si>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</si>
  <si>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</si>
  <si>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</si>
  <si>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</si>
  <si>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</si>
  <si>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</si>
  <si>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</si>
  <si>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</si>
  <si>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</si>
  <si>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</si>
  <si>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</si>
  <si>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</si>
  <si>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</si>
  <si>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</si>
  <si>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</si>
  <si>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</si>
  <si>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</si>
  <si>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</si>
  <si>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</si>
  <si>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</si>
  <si>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</si>
  <si>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</si>
  <si>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</si>
  <si>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</si>
  <si>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</si>
  <si>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</si>
  <si>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</si>
  <si>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</si>
  <si>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</si>
  <si>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</si>
  <si>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</si>
  <si>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</si>
  <si>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</si>
  <si>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</si>
  <si>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</si>
  <si>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</si>
  <si>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</si>
  <si>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</si>
  <si>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</si>
  <si>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</si>
  <si>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</si>
  <si>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</si>
  <si>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</si>
  <si>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</si>
  <si>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</si>
  <si>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</si>
  <si>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</si>
  <si>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</si>
  <si>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</si>
  <si>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</si>
  <si>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</si>
  <si>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</si>
  <si>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</si>
  <si>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</si>
  <si>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</si>
  <si>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</si>
  <si>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</si>
  <si>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</si>
  <si>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</si>
  <si>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</si>
  <si>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</si>
  <si>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</si>
  <si>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</si>
  <si>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</si>
  <si>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</si>
  <si>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</si>
  <si>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</si>
  <si>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</si>
  <si>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</si>
  <si>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</si>
  <si>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</si>
  <si>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</si>
  <si>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</si>
  <si>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</si>
  <si>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</si>
  <si>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</si>
  <si>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</si>
  <si>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</si>
  <si>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</si>
  <si>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</si>
  <si>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</si>
  <si>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</si>
  <si>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</si>
  <si>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</si>
  <si>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</si>
  <si>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</si>
  <si>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</si>
  <si>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</si>
  <si>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</si>
  <si>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</si>
  <si>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</si>
  <si>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</si>
  <si>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</si>
  <si>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</si>
  <si>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</si>
  <si>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</si>
  <si>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</si>
  <si>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</si>
  <si>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</si>
  <si>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</si>
  <si>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</si>
  <si>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</si>
  <si>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</si>
  <si>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</si>
  <si>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</si>
  <si>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</si>
  <si>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</si>
  <si>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</si>
  <si>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</si>
  <si>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</si>
  <si>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</si>
  <si>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</si>
  <si>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</si>
  <si>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</si>
  <si>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</si>
  <si>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</si>
  <si>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</si>
  <si>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</si>
  <si>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</si>
  <si>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</si>
  <si>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</si>
  <si>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</si>
  <si>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</si>
  <si>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</si>
  <si>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</si>
  <si>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</si>
  <si>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</si>
  <si>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</si>
  <si>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</si>
  <si>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</si>
  <si>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</si>
  <si>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</si>
  <si>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</si>
  <si>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</si>
  <si>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</si>
  <si>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</si>
  <si>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</si>
  <si>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</si>
  <si>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</si>
  <si>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</si>
  <si>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</si>
  <si>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</si>
  <si>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</si>
  <si>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</si>
  <si>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</si>
  <si>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</si>
  <si>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</si>
  <si>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</si>
  <si>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</si>
  <si>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</si>
  <si>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</si>
  <si>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</si>
  <si>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</si>
  <si>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</si>
  <si>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</si>
  <si>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</si>
  <si>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</si>
  <si>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</si>
  <si>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</si>
  <si>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</si>
  <si>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</si>
  <si>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</si>
  <si>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</si>
  <si>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</si>
  <si>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</si>
  <si>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</si>
  <si>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</si>
  <si>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</si>
  <si>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</si>
  <si>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</si>
  <si>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</si>
  <si>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</si>
  <si>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</si>
  <si>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</si>
  <si>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</si>
  <si>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</si>
  <si>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</si>
  <si>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</si>
  <si>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</si>
  <si>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</si>
  <si>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</si>
  <si>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</si>
  <si>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</si>
  <si>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</si>
  <si>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</si>
  <si>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</si>
  <si>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</si>
  <si>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</si>
  <si>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</si>
  <si>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</si>
  <si>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</si>
  <si>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</si>
  <si>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</si>
  <si>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</si>
  <si>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</si>
  <si>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</si>
  <si>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</si>
  <si>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</si>
  <si>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</si>
  <si>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</si>
  <si>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</si>
  <si>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</si>
  <si>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</si>
  <si>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</si>
  <si>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</si>
  <si>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</si>
  <si>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</si>
  <si>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</si>
  <si>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</si>
  <si>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</si>
  <si>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</si>
  <si>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</si>
  <si>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</si>
  <si>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</si>
  <si>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</si>
  <si>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</si>
  <si>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</si>
  <si>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</si>
  <si>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</si>
  <si>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</si>
  <si>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</si>
  <si>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</si>
  <si>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</si>
  <si>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</si>
  <si>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</si>
  <si>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</si>
  <si>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</si>
  <si>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</si>
  <si>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</si>
  <si>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</si>
  <si>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</si>
  <si>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</si>
  <si>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</si>
  <si>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</si>
  <si>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</si>
  <si>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</si>
  <si>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</si>
  <si>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</si>
  <si>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</si>
  <si>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</si>
  <si>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</si>
  <si>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</si>
  <si>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</si>
  <si>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</si>
  <si>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</si>
  <si>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</si>
  <si>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</si>
  <si>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</si>
  <si>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</si>
  <si>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</si>
  <si>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</si>
  <si>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</si>
  <si>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</si>
  <si>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</si>
  <si>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</si>
  <si>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</si>
  <si>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</si>
  <si>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</si>
  <si>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</si>
  <si>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</si>
  <si>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</si>
  <si>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</si>
  <si>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</si>
  <si>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</si>
  <si>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</si>
  <si>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</si>
  <si>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</si>
  <si>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</si>
  <si>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</si>
  <si>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</si>
  <si>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</si>
  <si>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</si>
  <si>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</si>
  <si>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</si>
  <si>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</si>
  <si>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</si>
  <si>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</si>
  <si>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</si>
  <si>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</si>
  <si>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</si>
  <si>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</si>
  <si>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</si>
  <si>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</si>
  <si>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</si>
  <si>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</si>
  <si>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</si>
  <si>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</si>
  <si>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</si>
  <si>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</si>
  <si>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</si>
  <si>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</si>
  <si>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</si>
  <si>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</si>
  <si>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</si>
  <si>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</si>
  <si>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</si>
  <si>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</si>
  <si>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</si>
  <si>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</si>
  <si>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</si>
  <si>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</si>
  <si>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</si>
  <si>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</si>
  <si>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</si>
  <si>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</si>
  <si>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</si>
  <si>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</si>
  <si>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</si>
  <si>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</si>
  <si>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</si>
  <si>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</si>
  <si>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</si>
  <si>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</si>
  <si>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</si>
  <si>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</si>
  <si>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</si>
  <si>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</si>
  <si>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</si>
  <si>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</si>
  <si>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</si>
  <si>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</si>
  <si>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</si>
  <si>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</si>
  <si>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</si>
  <si>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</si>
  <si>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</si>
  <si>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</si>
  <si>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</si>
  <si>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</si>
  <si>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</si>
  <si>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</si>
  <si>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</si>
  <si>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</si>
  <si>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</si>
  <si>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</si>
  <si>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</si>
  <si>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</si>
  <si>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</si>
  <si>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</si>
  <si>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</si>
  <si>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</si>
  <si>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</si>
  <si>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</si>
  <si>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</si>
  <si>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</si>
  <si>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</si>
  <si>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</si>
  <si>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</si>
  <si>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</si>
  <si>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</si>
  <si>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</si>
  <si>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</si>
  <si>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</si>
  <si>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</si>
  <si>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</si>
  <si>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</si>
  <si>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</si>
  <si>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</si>
  <si>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</si>
  <si>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</si>
  <si>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</si>
  <si>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</si>
  <si>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</si>
  <si>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</si>
  <si>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</si>
  <si>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</si>
  <si>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</si>
  <si>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</si>
  <si>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</si>
  <si>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</si>
  <si>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</si>
  <si>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</si>
  <si>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</si>
  <si>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</si>
  <si>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</si>
  <si>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</si>
  <si>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</si>
  <si>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</si>
  <si>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</si>
  <si>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</si>
  <si>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</si>
  <si>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</si>
  <si>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</si>
  <si>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</si>
  <si>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</si>
  <si>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</si>
  <si>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</si>
  <si>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</si>
  <si>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</si>
  <si>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</si>
  <si>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</si>
  <si>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</si>
  <si>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</si>
  <si>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</si>
  <si>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</si>
  <si>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</si>
  <si>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</si>
  <si>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</si>
  <si>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</si>
  <si>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</si>
  <si>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</si>
  <si>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</si>
  <si>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</si>
  <si>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</si>
  <si>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</si>
  <si>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</si>
  <si>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</si>
  <si>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</si>
  <si>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</si>
  <si>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</si>
  <si>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</si>
  <si>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</si>
  <si>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</si>
  <si>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</si>
  <si>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</si>
  <si>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</si>
  <si>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</si>
  <si>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</si>
  <si>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</si>
  <si>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</si>
  <si>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</si>
  <si>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</si>
  <si>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</si>
  <si>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</si>
  <si>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</si>
  <si>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</si>
  <si>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</si>
  <si>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</si>
  <si>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</si>
  <si>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</si>
  <si>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</si>
  <si>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</si>
  <si>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</si>
  <si>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</si>
  <si>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</si>
  <si>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</si>
  <si>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</si>
  <si>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</si>
  <si>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</si>
  <si>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</si>
  <si>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</si>
  <si>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</si>
  <si>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</si>
  <si>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</si>
  <si>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</si>
  <si>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</si>
  <si>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</si>
  <si>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</si>
  <si>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</si>
  <si>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</si>
  <si>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</si>
  <si>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</si>
  <si>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</si>
  <si>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</si>
  <si>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</si>
  <si>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</si>
  <si>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</si>
  <si>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</si>
  <si>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</si>
  <si>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</si>
  <si>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</si>
  <si>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</si>
  <si>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</si>
  <si>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</si>
  <si>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</si>
  <si>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</si>
  <si>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</si>
  <si>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</si>
  <si>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</si>
  <si>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</si>
  <si>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</si>
  <si>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</si>
  <si>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</si>
  <si>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</si>
  <si>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</si>
  <si>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</si>
  <si>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</si>
  <si>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</si>
  <si>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</si>
  <si>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</si>
  <si>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</si>
  <si>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</si>
  <si>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</si>
  <si>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</si>
  <si>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</si>
  <si>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</si>
  <si>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</si>
  <si>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</si>
  <si>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</si>
  <si>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</si>
  <si>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</si>
  <si>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</si>
  <si>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</si>
  <si>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</si>
  <si>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</si>
  <si>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</si>
  <si>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</si>
  <si>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</si>
  <si>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</si>
  <si>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</si>
  <si>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</si>
  <si>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</si>
  <si>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</si>
  <si>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</si>
  <si>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</si>
  <si>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</si>
  <si>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</si>
  <si>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</si>
  <si>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</si>
  <si>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</si>
  <si>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</si>
  <si>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</si>
  <si>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</si>
  <si>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</si>
  <si>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</si>
  <si>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</si>
  <si>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</si>
  <si>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</si>
  <si>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</si>
  <si>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</si>
  <si>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</si>
  <si>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</si>
  <si>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</si>
  <si>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</si>
  <si>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</si>
  <si>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</si>
  <si>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</si>
  <si>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</si>
  <si>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</si>
  <si>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</si>
  <si>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</si>
  <si>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</si>
  <si>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</si>
  <si>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</si>
  <si>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</si>
  <si>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</si>
  <si>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</si>
  <si>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</si>
  <si>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</si>
  <si>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</si>
  <si>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</si>
  <si>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</si>
  <si>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</si>
  <si>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</si>
  <si>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</si>
  <si>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</si>
  <si>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</si>
  <si>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</si>
  <si>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</si>
  <si>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</si>
  <si>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</si>
  <si>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</si>
  <si>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</si>
  <si>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</si>
  <si>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</si>
  <si>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</si>
  <si>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</si>
  <si>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</si>
  <si>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</si>
  <si>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</si>
  <si>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</si>
  <si>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</si>
  <si>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</si>
  <si>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</si>
  <si>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</si>
  <si>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</si>
  <si>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</si>
  <si>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</si>
  <si>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</si>
  <si>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</si>
  <si>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</si>
  <si>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</si>
  <si>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</si>
  <si>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</si>
  <si>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</si>
  <si>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</si>
  <si>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</si>
  <si>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</si>
  <si>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</si>
  <si>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</si>
  <si>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</si>
  <si>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</si>
  <si>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</si>
  <si>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</si>
  <si>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</si>
  <si>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</si>
  <si>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</si>
  <si>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</si>
  <si>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</si>
  <si>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</si>
  <si>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</si>
  <si>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</si>
  <si>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</si>
  <si>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</si>
  <si>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</si>
  <si>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</si>
  <si>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</si>
  <si>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</si>
  <si>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</si>
  <si>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</si>
  <si>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</si>
  <si>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</si>
  <si>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</si>
  <si>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</si>
  <si>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</si>
  <si>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</si>
  <si>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</si>
  <si>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</si>
  <si>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</si>
  <si>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</si>
  <si>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</si>
  <si>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</si>
  <si>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</si>
  <si>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王鹏</t>
  </si>
  <si>
    <t>崔锴</t>
  </si>
  <si>
    <t>北京中关村科技发展（控股）股份有限公司</t>
    <phoneticPr fontId="6" type="noConversion"/>
  </si>
  <si>
    <t>抵押</t>
  </si>
  <si>
    <t>房地产抵押价值</t>
  </si>
  <si>
    <t>北京市</t>
  </si>
  <si>
    <t>企业</t>
  </si>
  <si>
    <r>
      <rPr>
        <sz val="12"/>
        <color theme="9" tint="-0.249977111117893"/>
        <rFont val="宋体"/>
        <family val="3"/>
        <charset val="134"/>
      </rPr>
      <t>海淀区中关村大街</t>
    </r>
    <r>
      <rPr>
        <sz val="12"/>
        <color theme="9" tint="-0.249977111117893"/>
        <rFont val="Arial"/>
        <family val="2"/>
      </rPr>
      <t>18</t>
    </r>
    <r>
      <rPr>
        <sz val="12"/>
        <color theme="9" tint="-0.249977111117893"/>
        <rFont val="宋体"/>
        <family val="3"/>
        <charset val="134"/>
      </rPr>
      <t>号五层部分综合用房</t>
    </r>
    <phoneticPr fontId="6" type="noConversion"/>
  </si>
  <si>
    <t>出让</t>
  </si>
  <si>
    <t>办公项目</t>
  </si>
  <si>
    <t>无</t>
  </si>
  <si>
    <t>否</t>
  </si>
  <si>
    <t>现房</t>
  </si>
  <si>
    <t>是</t>
  </si>
  <si>
    <t>地上</t>
  </si>
  <si>
    <t>办公楼</t>
  </si>
  <si>
    <t>办公楼</t>
    <phoneticPr fontId="7" type="noConversion"/>
  </si>
  <si>
    <t>收益法</t>
  </si>
  <si>
    <t>较好</t>
    <phoneticPr fontId="3" type="noConversion"/>
  </si>
  <si>
    <t>七通</t>
    <phoneticPr fontId="3"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</si>
  <si>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中关村大街</t>
    </r>
    <phoneticPr fontId="3" type="noConversion"/>
  </si>
  <si>
    <t>成本法</t>
  </si>
  <si>
    <t>成本比率</t>
  </si>
  <si>
    <t>商务金融用地（办公类）</t>
  </si>
  <si>
    <t>不临58条商业街</t>
  </si>
  <si>
    <t>通路</t>
  </si>
  <si>
    <t>通电</t>
  </si>
  <si>
    <t>通讯</t>
  </si>
  <si>
    <t>通上水</t>
  </si>
  <si>
    <t>通下水</t>
  </si>
  <si>
    <t>与级别开发程度不一致</t>
  </si>
  <si>
    <t>按公示增长率计算</t>
  </si>
  <si>
    <t>容积率修正</t>
  </si>
  <si>
    <t>较好</t>
  </si>
  <si>
    <t>好</t>
  </si>
  <si>
    <t>需扣减承租人权益</t>
  </si>
  <si>
    <t>未包含在土地购买价格中</t>
  </si>
  <si>
    <t>全部缴纳</t>
  </si>
  <si>
    <t>已包含在土地取得成本中</t>
  </si>
  <si>
    <t>押一</t>
  </si>
  <si>
    <t>非生产用房</t>
  </si>
  <si>
    <t>钢混</t>
  </si>
  <si>
    <t>自定义</t>
  </si>
  <si>
    <t>正常</t>
  </si>
  <si>
    <t>30-40（含）</t>
  </si>
  <si>
    <t>七通</t>
  </si>
  <si>
    <r>
      <rPr>
        <sz val="11"/>
        <rFont val="宋体"/>
        <family val="3"/>
        <charset val="134"/>
      </rPr>
      <t>城市次干道</t>
    </r>
    <r>
      <rPr>
        <sz val="11"/>
        <rFont val="Arial"/>
        <family val="2"/>
      </rPr>
      <t>-</t>
    </r>
    <r>
      <rPr>
        <sz val="11"/>
        <rFont val="宋体"/>
        <family val="3"/>
        <charset val="134"/>
      </rPr>
      <t>中关村大街</t>
    </r>
    <phoneticPr fontId="3" type="noConversion"/>
  </si>
  <si>
    <t>次干道</t>
  </si>
  <si>
    <t>低区</t>
  </si>
  <si>
    <t>塔楼</t>
  </si>
  <si>
    <t>普通装修</t>
  </si>
  <si>
    <t>标准</t>
  </si>
  <si>
    <t>专业</t>
  </si>
  <si>
    <t>五通</t>
  </si>
  <si>
    <t>精装修</t>
  </si>
  <si>
    <r>
      <rPr>
        <sz val="11"/>
        <rFont val="宋体"/>
        <family val="3"/>
        <charset val="134"/>
      </rPr>
      <t>城市次干道</t>
    </r>
    <r>
      <rPr>
        <sz val="11"/>
        <rFont val="Arial"/>
        <family val="2"/>
      </rPr>
      <t>-</t>
    </r>
    <r>
      <rPr>
        <sz val="11"/>
        <rFont val="宋体"/>
        <family val="3"/>
        <charset val="134"/>
      </rPr>
      <t>中关村大街</t>
    </r>
    <phoneticPr fontId="3" type="noConversion"/>
  </si>
  <si>
    <t>海龙大厦</t>
    <phoneticPr fontId="3" type="noConversion"/>
  </si>
  <si>
    <r>
      <rPr>
        <sz val="11"/>
        <color theme="9" tint="-0.249977111117893"/>
        <rFont val="宋体"/>
        <family val="3"/>
        <charset val="134"/>
      </rPr>
      <t>中关村大街</t>
    </r>
    <r>
      <rPr>
        <sz val="11"/>
        <color theme="9" tint="-0.249977111117893"/>
        <rFont val="Arial"/>
        <family val="2"/>
      </rPr>
      <t>1</t>
    </r>
    <r>
      <rPr>
        <sz val="11"/>
        <color theme="9" tint="-0.249977111117893"/>
        <rFont val="宋体"/>
        <family val="3"/>
        <charset val="134"/>
      </rPr>
      <t>号</t>
    </r>
    <phoneticPr fontId="3" type="noConversion"/>
  </si>
  <si>
    <t>中关村大街38号</t>
    <phoneticPr fontId="3" type="noConversion"/>
  </si>
  <si>
    <t>中区</t>
  </si>
  <si>
    <t>六通</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</si>
  <si>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</si>
  <si>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</si>
  <si>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</si>
  <si>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</si>
  <si>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</si>
  <si>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</si>
  <si>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</si>
  <si>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</si>
  <si>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塔楼</t>
    <phoneticPr fontId="3" type="noConversion"/>
  </si>
  <si>
    <t>钢混</t>
    <phoneticPr fontId="3" type="noConversion"/>
  </si>
  <si>
    <t>精装修</t>
    <phoneticPr fontId="3" type="noConversion"/>
  </si>
  <si>
    <t>普通装修</t>
    <phoneticPr fontId="3" type="noConversion"/>
  </si>
  <si>
    <t>简装修</t>
    <phoneticPr fontId="3" type="noConversion"/>
  </si>
  <si>
    <t>毛坯</t>
    <phoneticPr fontId="3" type="noConversion"/>
  </si>
  <si>
    <t>标准</t>
    <phoneticPr fontId="3" type="noConversion"/>
  </si>
  <si>
    <t>专业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</si>
  <si>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</si>
  <si>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</si>
  <si>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</si>
  <si>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</si>
  <si>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</si>
  <si>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办公</t>
    <phoneticPr fontId="32" type="noConversion"/>
  </si>
  <si>
    <t xml:space="preserve"> </t>
    <phoneticPr fontId="32" type="noConversion"/>
  </si>
  <si>
    <t>租金</t>
  </si>
  <si>
    <t>中关村科贸电子城</t>
    <phoneticPr fontId="3" type="noConversion"/>
  </si>
  <si>
    <t>中关村大街18号</t>
    <phoneticPr fontId="3" type="noConversion"/>
  </si>
  <si>
    <t>银科大厦</t>
    <phoneticPr fontId="3" type="noConversion"/>
  </si>
  <si>
    <t>按租金收入计税</t>
  </si>
  <si>
    <t>2019-1-0658-F01DYGJ1</t>
    <phoneticPr fontId="6" type="noConversion"/>
  </si>
  <si>
    <t>河北银行股份有限公司广安街支行</t>
    <phoneticPr fontId="6" type="noConversion"/>
  </si>
  <si>
    <t>平整</t>
  </si>
  <si>
    <t>成新度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</si>
</sst>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50" fillId="5" borderId="2" xfId="0" applyFont="1" applyFill="1" applyBorder="1" applyAlignment="1" applyProtection="1">
      <alignment horizontal="center" vertical="center" wrapText="1"/>
      <protection locked="0"/>
    </xf>
    <xf numFmtId="176" fontId="50" fillId="17" borderId="1" xfId="0" applyNumberFormat="1" applyFont="1" applyFill="1" applyBorder="1" applyAlignment="1" applyProtection="1">
      <alignment vertical="center" wrapText="1"/>
      <protection locked="0"/>
    </xf>
    <xf numFmtId="176" fontId="50" fillId="10" borderId="1" xfId="0" applyNumberFormat="1" applyFont="1" applyFill="1" applyBorder="1" applyAlignment="1" applyProtection="1">
      <alignment vertical="center" wrapText="1"/>
      <protection locked="0"/>
    </xf>
    <xf numFmtId="176" fontId="50" fillId="18" borderId="1" xfId="0" applyNumberFormat="1" applyFont="1" applyFill="1" applyBorder="1" applyAlignment="1" applyProtection="1">
      <alignment vertical="center" wrapText="1"/>
      <protection locked="0"/>
    </xf>
    <xf numFmtId="176" fontId="50" fillId="19" borderId="1" xfId="0" applyNumberFormat="1" applyFont="1" applyFill="1" applyBorder="1" applyAlignment="1" applyProtection="1">
      <alignment vertical="center" wrapText="1"/>
      <protection locked="0"/>
    </xf>
    <xf numFmtId="176" fontId="50" fillId="20" borderId="1" xfId="0" applyNumberFormat="1"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181" fontId="47"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10" fontId="54" fillId="7" borderId="1" xfId="0"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81" fontId="56" fillId="7" borderId="1" xfId="0" applyNumberFormat="1" applyFont="1" applyFill="1" applyBorder="1" applyAlignment="1" applyProtection="1">
      <alignment horizontal="center" vertical="center"/>
      <protection locked="0"/>
    </xf>
    <xf numFmtId="0" fontId="54" fillId="7" borderId="23" xfId="0" applyFont="1" applyFill="1" applyBorder="1" applyAlignment="1" applyProtection="1">
      <alignment vertical="center"/>
      <protection locked="0"/>
    </xf>
    <xf numFmtId="0" fontId="54" fillId="7" borderId="3" xfId="0" applyFont="1" applyFill="1" applyBorder="1" applyAlignment="1" applyProtection="1">
      <alignment vertical="center"/>
      <protection locked="0"/>
    </xf>
    <xf numFmtId="0" fontId="54" fillId="5" borderId="3"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256286</xdr:colOff>
      <xdr:row>11</xdr:row>
      <xdr:rowOff>104526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114286" cy="1990476"/>
        </a:xfrm>
        <a:prstGeom prst="rect">
          <a:avLst/>
        </a:prstGeom>
      </xdr:spPr>
    </xdr:pic>
    <xdr:clientData/>
  </xdr:twoCellAnchor>
  <xdr:twoCellAnchor editAs="oneCell">
    <xdr:from>
      <xdr:col>0</xdr:col>
      <xdr:colOff>0</xdr:colOff>
      <xdr:row>13</xdr:row>
      <xdr:rowOff>0</xdr:rowOff>
    </xdr:from>
    <xdr:to>
      <xdr:col>10</xdr:col>
      <xdr:colOff>84858</xdr:colOff>
      <xdr:row>25</xdr:row>
      <xdr:rowOff>18791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6942858" cy="2076191"/>
        </a:xfrm>
        <a:prstGeom prst="rect">
          <a:avLst/>
        </a:prstGeom>
      </xdr:spPr>
    </xdr:pic>
    <xdr:clientData/>
  </xdr:twoCellAnchor>
  <xdr:twoCellAnchor editAs="oneCell">
    <xdr:from>
      <xdr:col>0</xdr:col>
      <xdr:colOff>0</xdr:colOff>
      <xdr:row>29</xdr:row>
      <xdr:rowOff>0</xdr:rowOff>
    </xdr:from>
    <xdr:to>
      <xdr:col>10</xdr:col>
      <xdr:colOff>275334</xdr:colOff>
      <xdr:row>40</xdr:row>
      <xdr:rowOff>142622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972050"/>
          <a:ext cx="7133334" cy="20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北京市海淀区中关村大街18号五层部分综合用房房地产抵押价值预评估</v>
      </c>
    </row>
    <row r="3" spans="1:2" s="1593" customFormat="1">
      <c r="A3" s="1591" t="s">
        <v>1217</v>
      </c>
      <c r="B3" s="1592" t="str">
        <f>'预评函-封皮'!B40</f>
        <v>北京中关村科技发展（控股）股份有限公司</v>
      </c>
    </row>
    <row r="4" spans="1:2" s="1593" customFormat="1">
      <c r="A4" s="1591" t="s">
        <v>1218</v>
      </c>
      <c r="B4" s="1592" t="str">
        <f ca="1">'预评函-封皮'!B46</f>
        <v>王鹏（注册号：1120050019)、崔锴（注册号：1120100036)</v>
      </c>
    </row>
    <row r="5" spans="1:2" s="1587" customFormat="1" ht="15" thickBot="1">
      <c r="A5" s="1594" t="s">
        <v>1219</v>
      </c>
      <c r="B5" s="1595" t="str">
        <f>'预评函-封皮'!B49</f>
        <v>康正预评字2019-1-0658-F01DYGJ1号</v>
      </c>
    </row>
    <row r="6" spans="1:2" s="1590" customFormat="1" ht="15" thickTop="1">
      <c r="A6" s="1588" t="s">
        <v>1220</v>
      </c>
      <c r="B6" s="1589" t="str">
        <f>'预评函-1'!A4</f>
        <v>受贵公司委托，我公司对北京市海淀区中关村大街18号五层部分综合用房房地产抵押价值进行了预评估。</v>
      </c>
    </row>
    <row r="7" spans="1:2" s="1593" customFormat="1">
      <c r="A7" s="1591" t="s">
        <v>1260</v>
      </c>
      <c r="B7" s="1592" t="str">
        <f>'预评函-1'!A7</f>
        <v>估价对象为北京市海淀区中关村大街18号五层部分综合用房房地产，为所有。根据《国有土地使用证》[]，估价对象（分摊）出让国有建设用地使用权面积为563.73平方米，建筑面积为5028.58平方米。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海淀区中关村大街18号五层部分综合用房房地产,属开发建设的办公项目，该项目尚在开发建设中。根据《国有土地使用证》[]，估价对象（分摊）出让国有建设用地使用权面积为563.73平方米，规划建筑面积为5028.58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为估价委托人在向河北银行股份有限公司广安街支行办理贷款手续过程中，确定房地产抵押贷款额度提供参考依据而评估房地产抵押价值。</v>
      </c>
    </row>
    <row r="12" spans="1:2" s="1593" customFormat="1">
      <c r="A12" s="1591" t="s">
        <v>1222</v>
      </c>
      <c r="B12" s="1592" t="str">
        <f>'预评函-1'!A15</f>
        <v>2019年11月5日（评估专业人员实地查勘之日）</v>
      </c>
    </row>
    <row r="13" spans="1:2" s="1593" customFormat="1">
      <c r="A13" s="1591" t="s">
        <v>1223</v>
      </c>
      <c r="B13" s="1592" t="str">
        <f>'预评函-1'!A18</f>
        <v>本次估价的“房地产价值”是指在正常市场情况下，在价值时点2019年11月5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17160</v>
      </c>
    </row>
    <row r="21" spans="1:2" s="1593" customFormat="1">
      <c r="A21" s="1591" t="s">
        <v>1231</v>
      </c>
      <c r="B21" s="1592">
        <f ca="1">'预评函-2'!D7</f>
        <v>34125</v>
      </c>
    </row>
    <row r="22" spans="1:2" s="1593" customFormat="1">
      <c r="A22" s="1591" t="s">
        <v>1232</v>
      </c>
      <c r="B22" s="1592" t="str">
        <f ca="1">'预评函-2'!D6</f>
        <v>壹亿柒仟壹佰陆拾万元整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17160</v>
      </c>
    </row>
    <row r="31" spans="1:2" s="1593" customFormat="1">
      <c r="A31" s="1591" t="s">
        <v>1270</v>
      </c>
      <c r="B31" s="1592">
        <f ca="1">'预评函-2'!D15</f>
        <v>34125</v>
      </c>
    </row>
    <row r="32" spans="1:2" s="1593" customFormat="1">
      <c r="A32" s="1591" t="s">
        <v>1237</v>
      </c>
      <c r="B32" s="1592" t="str">
        <f ca="1">'预评函-2'!D14</f>
        <v>壹亿柒仟壹佰陆拾万元整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北京市海淀区中关村大街18号五层部分综合用房房地产</v>
      </c>
    </row>
    <row r="42" spans="1:2" s="1593" customFormat="1">
      <c r="A42" s="1591" t="s">
        <v>1284</v>
      </c>
      <c r="B42" s="1592" t="str">
        <f>'预评函-3'!B2</f>
        <v>建筑面积</v>
      </c>
    </row>
    <row r="43" spans="1:2" s="1593" customFormat="1">
      <c r="A43" s="1591" t="s">
        <v>1285</v>
      </c>
      <c r="B43" s="1592">
        <f>'预评函-3'!B4</f>
        <v>5028.579999999999</v>
      </c>
    </row>
    <row r="44" spans="1:2" s="1593" customFormat="1">
      <c r="A44" s="1591" t="s">
        <v>1269</v>
      </c>
      <c r="B44" s="1592" t="str">
        <f>'预评函-3'!C2</f>
        <v>(分摊)土地面积</v>
      </c>
    </row>
    <row r="45" spans="1:2" s="1593" customFormat="1">
      <c r="A45" s="1591" t="s">
        <v>1241</v>
      </c>
      <c r="B45" s="1592">
        <f>'预评函-3'!C4</f>
        <v>563.73</v>
      </c>
    </row>
    <row r="46" spans="1:2" s="1593" customFormat="1">
      <c r="A46" s="1591" t="s">
        <v>1267</v>
      </c>
      <c r="B46" s="1592" t="str">
        <f>'预评函-3'!D2</f>
        <v>出让国有建设用地使用权价值</v>
      </c>
    </row>
    <row r="47" spans="1:2" s="1593" customFormat="1">
      <c r="A47" s="1591" t="s">
        <v>1242</v>
      </c>
      <c r="B47" s="1592">
        <f ca="1">'预评函-3'!D4</f>
        <v>15633</v>
      </c>
    </row>
    <row r="48" spans="1:2" s="1593" customFormat="1">
      <c r="A48" s="1591" t="s">
        <v>1243</v>
      </c>
      <c r="B48" s="1592">
        <f ca="1">'预评函-3'!E4</f>
        <v>31088</v>
      </c>
    </row>
    <row r="49" spans="1:2" s="1593" customFormat="1">
      <c r="A49" s="1591" t="s">
        <v>1244</v>
      </c>
      <c r="B49" s="1592" t="str">
        <f ca="1">'预评函-3'!D5</f>
        <v>壹亿伍仟陆佰叁拾叁万元整</v>
      </c>
    </row>
    <row r="50" spans="1:2" s="1593" customFormat="1">
      <c r="A50" s="1591" t="s">
        <v>1268</v>
      </c>
      <c r="B50" s="1592" t="str">
        <f>'预评函-3'!F2</f>
        <v>在建建筑物价值</v>
      </c>
    </row>
    <row r="51" spans="1:2" s="1593" customFormat="1">
      <c r="A51" s="1591" t="s">
        <v>1245</v>
      </c>
      <c r="B51" s="1592">
        <f ca="1">'预评函-3'!F4</f>
        <v>1527</v>
      </c>
    </row>
    <row r="52" spans="1:2" s="1593" customFormat="1">
      <c r="A52" s="1591" t="s">
        <v>1246</v>
      </c>
      <c r="B52" s="1592">
        <f ca="1">'预评函-3'!G4</f>
        <v>3037</v>
      </c>
    </row>
    <row r="53" spans="1:2" s="1593" customFormat="1">
      <c r="A53" s="1591" t="s">
        <v>1274</v>
      </c>
      <c r="B53" s="1592" t="str">
        <f ca="1">'预评函-3'!F5</f>
        <v>壹仟伍佰贰拾柒万元整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王鹏</v>
      </c>
    </row>
    <row r="71" spans="1:2">
      <c r="A71" s="1591" t="s">
        <v>1257</v>
      </c>
      <c r="B71" s="1592">
        <f ca="1">'预评函-4'!B4</f>
        <v>1120050019</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1141</v>
      </c>
      <c r="R1" s="2009" t="s">
        <v>1135</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1137</v>
      </c>
      <c r="S2" s="2015" t="s">
        <v>1707</v>
      </c>
      <c r="T2" s="2015" t="s">
        <v>1708</v>
      </c>
      <c r="U2" s="2015" t="s">
        <v>1707</v>
      </c>
      <c r="V2" s="2015" t="s">
        <v>1709</v>
      </c>
      <c r="W2" s="2015" t="s">
        <v>1707</v>
      </c>
    </row>
    <row r="3" spans="1:23">
      <c r="A3" s="2013" t="s">
        <v>1710</v>
      </c>
      <c r="B3" s="2016" t="s">
        <v>1142</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1136</v>
      </c>
      <c r="S3" s="2015" t="s">
        <v>1715</v>
      </c>
      <c r="T3" s="2015" t="s">
        <v>1716</v>
      </c>
      <c r="U3" s="2015" t="s">
        <v>1715</v>
      </c>
      <c r="V3" s="2015" t="s">
        <v>1717</v>
      </c>
      <c r="W3" s="2015" t="s">
        <v>1715</v>
      </c>
    </row>
    <row r="4" spans="1:23">
      <c r="A4" s="2013" t="s">
        <v>1718</v>
      </c>
      <c r="B4" s="2013" t="s">
        <v>1719</v>
      </c>
      <c r="C4" s="2014" t="s">
        <v>762</v>
      </c>
      <c r="D4" s="2015" t="s">
        <v>865</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1138</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1139</v>
      </c>
      <c r="S5" s="2015" t="s">
        <v>1730</v>
      </c>
      <c r="T5" s="2015" t="s">
        <v>1731</v>
      </c>
      <c r="U5" s="2015" t="s">
        <v>1730</v>
      </c>
      <c r="W5" s="2015" t="s">
        <v>1730</v>
      </c>
    </row>
    <row r="6" spans="1:23">
      <c r="A6" s="2013" t="s">
        <v>1732</v>
      </c>
      <c r="B6" s="2016" t="s">
        <v>1143</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1140</v>
      </c>
      <c r="S6" s="2015" t="s">
        <v>1735</v>
      </c>
      <c r="T6" s="2015"/>
      <c r="U6" s="2015" t="s">
        <v>1735</v>
      </c>
      <c r="W6" s="2015" t="s">
        <v>1735</v>
      </c>
    </row>
    <row r="7" spans="1:23">
      <c r="A7" s="2013" t="s">
        <v>1736</v>
      </c>
      <c r="B7" s="2016" t="s">
        <v>1144</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757</v>
      </c>
      <c r="C17" s="2014"/>
    </row>
    <row r="18" spans="1:3">
      <c r="A18" s="2013" t="s">
        <v>1761</v>
      </c>
      <c r="B18" s="2013" t="s">
        <v>757</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为估价委托人在向河北银行股份有限公司广安街支行办理贷款手续过程中，确定房地产抵押贷款额度提供参考依据而评估房地产抵押价值。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中关村科技发展（控股）股份有限公司拟使用北京市海淀区中关村大街18号五层部分综合用房房地产作为抵押担保物，向河北银行股份有限公司广安街支行办理贷款手续。河北银行股份有限公司广安街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9"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9"/>
      <c r="B54" s="2021" t="s">
        <v>861</v>
      </c>
      <c r="C54" s="2018" t="s">
        <v>1277</v>
      </c>
    </row>
    <row r="55" spans="1:4">
      <c r="A55" s="3009"/>
      <c r="B55" s="2021" t="s">
        <v>862</v>
      </c>
      <c r="C55" s="2018" t="s">
        <v>1278</v>
      </c>
    </row>
    <row r="56" spans="1:4">
      <c r="A56" s="3009"/>
      <c r="B56" s="2021" t="s">
        <v>863</v>
      </c>
      <c r="C56" s="2018" t="s">
        <v>1282</v>
      </c>
    </row>
    <row r="57" spans="1:4">
      <c r="A57" s="3009"/>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21" sqref="M21"/>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1770</v>
      </c>
      <c r="B1" s="3018" t="str">
        <f>IF(B10="北京市","北京市",C10)&amp;F10&amp;IF(结果表!G1="在建","出让国有建设用地使用权及在建建筑物",IF(结果表!G1="土地","出让国有建设用地使用权",))&amp;B9&amp;"预评估"</f>
        <v>北京市海淀区中关村大街18号五层部分综合用房房地产抵押价值预评估</v>
      </c>
      <c r="C1" s="3019"/>
      <c r="D1" s="3019"/>
      <c r="E1" s="3019"/>
      <c r="F1" s="3019"/>
      <c r="G1" s="3019"/>
      <c r="H1" s="3019"/>
      <c r="I1" s="3020"/>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北京市海淀区中关村大街18号五层部分综合用房房地产抵押价值</v>
      </c>
    </row>
    <row r="2" spans="1:19" ht="18" customHeight="1">
      <c r="A2" s="2025" t="s">
        <v>1771</v>
      </c>
      <c r="B2" s="1039" t="s">
        <v>3144</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北京市海淀区中关村大街18号五层部分综合用房房地产</v>
      </c>
    </row>
    <row r="3" spans="1:19" ht="18" customHeight="1">
      <c r="A3" s="2034" t="s">
        <v>1772</v>
      </c>
      <c r="B3" s="2035">
        <v>43774</v>
      </c>
      <c r="C3" s="2036" t="s">
        <v>1773</v>
      </c>
      <c r="D3" s="2035">
        <f>B3</f>
        <v>43774</v>
      </c>
      <c r="E3" s="2025"/>
      <c r="F3" s="2025"/>
      <c r="G3" s="2025"/>
      <c r="H3" s="2025"/>
      <c r="I3" s="2025"/>
      <c r="J3" s="2025"/>
      <c r="K3" s="2026"/>
      <c r="L3" s="2027"/>
      <c r="M3" s="2027"/>
      <c r="N3" s="2028"/>
      <c r="O3" s="2029"/>
      <c r="P3" s="2028"/>
      <c r="Q3" s="2028"/>
      <c r="R3" s="2028"/>
      <c r="S3" s="2030"/>
    </row>
    <row r="4" spans="1:19" ht="18" customHeight="1" thickBot="1">
      <c r="A4" s="2037" t="s">
        <v>1774</v>
      </c>
      <c r="B4" s="2038" t="s">
        <v>3055</v>
      </c>
      <c r="C4" s="1037">
        <f ca="1">SUMIF(注册房地产估价师,B4,估价师及机构信息!B3:B24)</f>
        <v>1120050019</v>
      </c>
      <c r="D4" s="2038" t="s">
        <v>3056</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王鹏（注册号：1120050019)、崔锴（注册号：1120100036)</v>
      </c>
      <c r="L4" s="2027"/>
      <c r="M4" s="2027"/>
      <c r="N4" s="2028"/>
      <c r="O4" s="2029"/>
      <c r="P4" s="2028"/>
      <c r="Q4" s="2028"/>
      <c r="R4" s="2028"/>
      <c r="S4" s="2030"/>
    </row>
    <row r="5" spans="1:19" ht="18" customHeight="1" thickTop="1">
      <c r="A5" s="2043" t="s">
        <v>1775</v>
      </c>
      <c r="B5" s="2950"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1776</v>
      </c>
      <c r="B6" s="2951" t="s">
        <v>3145</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1777</v>
      </c>
      <c r="B7" s="2050" t="str">
        <f>B5</f>
        <v>北京中关村科技发展（控股）股份有限公司</v>
      </c>
      <c r="C7" s="2047"/>
      <c r="D7" s="2048"/>
      <c r="E7" s="2033"/>
      <c r="F7" s="2041"/>
      <c r="G7" s="2041"/>
      <c r="H7" s="2041"/>
      <c r="I7" s="2041"/>
      <c r="J7" s="2041"/>
      <c r="K7" s="2051"/>
      <c r="L7" s="2027"/>
      <c r="M7" s="2027"/>
      <c r="N7" s="2028"/>
      <c r="O7" s="2029"/>
      <c r="P7" s="2028"/>
      <c r="Q7" s="2028"/>
      <c r="R7" s="2028"/>
    </row>
    <row r="8" spans="1:19" ht="18" customHeight="1">
      <c r="A8" s="2046" t="s">
        <v>1778</v>
      </c>
      <c r="B8" s="2052" t="s">
        <v>3058</v>
      </c>
      <c r="C8" s="2053"/>
      <c r="D8" s="3021" t="s">
        <v>1779</v>
      </c>
      <c r="E8" s="2054" t="s">
        <v>3059</v>
      </c>
      <c r="F8" s="2055"/>
      <c r="G8" s="2025"/>
      <c r="H8" s="2025"/>
      <c r="I8" s="2025"/>
      <c r="J8" s="2041"/>
      <c r="K8" s="2042"/>
      <c r="L8" s="2027"/>
      <c r="M8" s="2027"/>
      <c r="N8" s="2028"/>
      <c r="O8" s="2029"/>
      <c r="P8" s="2028"/>
      <c r="Q8" s="2028"/>
      <c r="R8" s="2028"/>
    </row>
    <row r="9" spans="1:19" ht="18" customHeight="1" thickBot="1">
      <c r="A9" s="2039" t="s">
        <v>1780</v>
      </c>
      <c r="B9" s="2056" t="s">
        <v>3059</v>
      </c>
      <c r="C9" s="2057"/>
      <c r="D9" s="3022"/>
      <c r="E9" s="2056"/>
      <c r="F9" s="2058"/>
      <c r="G9" s="2059"/>
      <c r="H9" s="2059"/>
      <c r="I9" s="2059"/>
      <c r="J9" s="2041"/>
      <c r="K9" s="2051"/>
      <c r="L9" s="2027"/>
      <c r="M9" s="2027"/>
      <c r="N9" s="2028"/>
      <c r="O9" s="2029"/>
      <c r="P9" s="2028"/>
      <c r="Q9" s="2028"/>
      <c r="R9" s="2028"/>
    </row>
    <row r="10" spans="1:19" ht="18" customHeight="1" thickTop="1">
      <c r="A10" s="2060" t="s">
        <v>1781</v>
      </c>
      <c r="B10" s="2061" t="s">
        <v>3060</v>
      </c>
      <c r="C10" s="2062"/>
      <c r="D10" s="2045"/>
      <c r="E10" s="2063" t="s">
        <v>1782</v>
      </c>
      <c r="F10" s="2064" t="s">
        <v>3062</v>
      </c>
      <c r="G10" s="2065"/>
      <c r="H10" s="2066"/>
      <c r="I10" s="2045"/>
      <c r="J10" s="2041"/>
      <c r="K10" s="2051"/>
      <c r="L10" s="2027"/>
      <c r="M10" s="2027"/>
      <c r="N10" s="2028"/>
      <c r="O10" s="2029"/>
      <c r="P10" s="2028"/>
      <c r="Q10" s="2028"/>
      <c r="R10" s="2028"/>
    </row>
    <row r="11" spans="1:19" ht="18" customHeight="1">
      <c r="A11" s="2067" t="s">
        <v>1783</v>
      </c>
      <c r="B11" s="2068" t="s">
        <v>3061</v>
      </c>
      <c r="C11" s="2069"/>
      <c r="D11" s="2070"/>
      <c r="E11" s="2041"/>
      <c r="F11" s="2041"/>
      <c r="G11" s="2041"/>
      <c r="H11" s="2041"/>
      <c r="I11" s="2041"/>
      <c r="J11" s="2041"/>
      <c r="K11" s="2051"/>
      <c r="L11" s="2027"/>
      <c r="M11" s="2027"/>
      <c r="N11" s="2028"/>
      <c r="O11" s="2029"/>
      <c r="P11" s="2028"/>
      <c r="Q11" s="2028"/>
      <c r="R11" s="2028"/>
    </row>
    <row r="12" spans="1:19" ht="18" customHeight="1">
      <c r="A12" s="2071" t="s">
        <v>1784</v>
      </c>
      <c r="B12" s="2068" t="s">
        <v>3063</v>
      </c>
      <c r="C12" s="2072" t="s">
        <v>1785</v>
      </c>
      <c r="D12" s="2073" t="s">
        <v>1786</v>
      </c>
      <c r="E12" s="2073" t="s">
        <v>1787</v>
      </c>
      <c r="F12" s="2073" t="s">
        <v>1788</v>
      </c>
      <c r="G12" s="2073" t="s">
        <v>1789</v>
      </c>
      <c r="H12" s="2073" t="s">
        <v>1790</v>
      </c>
      <c r="I12" s="2073" t="s">
        <v>1791</v>
      </c>
      <c r="J12" s="2041"/>
      <c r="K12" s="2051"/>
      <c r="L12" s="2027"/>
      <c r="M12" s="2027"/>
      <c r="N12" s="2028"/>
      <c r="O12" s="2029"/>
      <c r="P12" s="2028"/>
      <c r="Q12" s="2028"/>
      <c r="R12" s="2028"/>
    </row>
    <row r="13" spans="1:19" ht="18" customHeight="1">
      <c r="A13" s="2074"/>
      <c r="B13" s="2075"/>
      <c r="C13" s="2076" t="s">
        <v>1792</v>
      </c>
      <c r="D13" s="2077"/>
      <c r="E13" s="2077"/>
      <c r="F13" s="2077">
        <v>55330</v>
      </c>
      <c r="G13" s="2077"/>
      <c r="H13" s="2077"/>
      <c r="I13" s="1047"/>
      <c r="J13" s="2041"/>
      <c r="K13" s="2051"/>
      <c r="L13" s="2027"/>
      <c r="M13" s="2027"/>
      <c r="N13" s="2028"/>
      <c r="O13" s="2029"/>
      <c r="P13" s="2028"/>
      <c r="Q13" s="2028"/>
      <c r="R13" s="2028"/>
    </row>
    <row r="14" spans="1:19" ht="18" customHeight="1">
      <c r="A14" s="2074"/>
      <c r="B14" s="2075"/>
      <c r="C14" s="2076" t="s">
        <v>1793</v>
      </c>
      <c r="D14" s="1050"/>
      <c r="E14" s="1050"/>
      <c r="F14" s="1050">
        <v>50</v>
      </c>
      <c r="G14" s="1050"/>
      <c r="H14" s="1050"/>
      <c r="I14" s="1050"/>
      <c r="J14" s="2041"/>
      <c r="K14" s="2078"/>
      <c r="L14" s="2027"/>
      <c r="M14" s="2027"/>
      <c r="N14" s="2028"/>
      <c r="O14" s="2029"/>
      <c r="P14" s="2028"/>
      <c r="Q14" s="2028"/>
      <c r="R14" s="2028"/>
    </row>
    <row r="15" spans="1:19" ht="18" customHeight="1">
      <c r="A15" s="2060"/>
      <c r="B15" s="2079"/>
      <c r="C15" s="2076" t="s">
        <v>1794</v>
      </c>
      <c r="D15" s="1049" t="str">
        <f>IF(B12="出让",IF(D13="","",ROUNDDOWN(MIN((D13-$D$3)/365,D14),2)),D14)</f>
        <v/>
      </c>
      <c r="E15" s="1049" t="str">
        <f>IF(B12="出让",IF(E13="","",ROUNDDOWN(MIN((E13-$D$3)/365,E14),2)),E14)</f>
        <v/>
      </c>
      <c r="F15" s="1049">
        <f>IF(B12="出让",IF(F13="","",ROUNDDOWN(MIN((F13-$D$3)/365,F14),2)),F14)</f>
        <v>31.66</v>
      </c>
      <c r="G15" s="1049" t="str">
        <f>IF(B12="出让",IF(G13="","",ROUNDDOWN(MIN((G13-$D$3)/365,G14),2)),G14)</f>
        <v/>
      </c>
      <c r="H15" s="1049" t="str">
        <f>IF(B12="出让",IF(H13="","",ROUNDDOWN(MIN((H13-$D$3)/365,H14),2)),H14)</f>
        <v/>
      </c>
      <c r="I15" s="1049" t="str">
        <f>IF(B12="出让",IF(I13="","",ROUNDDOWN(MIN((I13-$D$3)/365,I14),2)),I14)</f>
        <v/>
      </c>
      <c r="J15" s="2041"/>
      <c r="K15" s="2080"/>
      <c r="L15" s="2081"/>
      <c r="M15" s="2081"/>
      <c r="N15" s="2082"/>
      <c r="O15" s="2081"/>
      <c r="P15" s="2082"/>
      <c r="Q15" s="2028"/>
      <c r="R15" s="2028"/>
    </row>
    <row r="16" spans="1:19" ht="30.75" customHeight="1">
      <c r="A16" s="2063" t="s">
        <v>1795</v>
      </c>
      <c r="B16" s="3028"/>
      <c r="C16" s="3029"/>
      <c r="D16" s="3030"/>
      <c r="E16" s="2083" t="s">
        <v>1796</v>
      </c>
      <c r="F16" s="3031"/>
      <c r="G16" s="3032"/>
      <c r="H16" s="3032"/>
      <c r="I16" s="3033"/>
      <c r="J16" s="2028"/>
      <c r="K16" s="2080"/>
      <c r="L16" s="2081"/>
      <c r="M16" s="2081"/>
      <c r="N16" s="2082"/>
      <c r="O16" s="2081"/>
      <c r="P16" s="2082"/>
      <c r="Q16" s="2028"/>
      <c r="R16" s="2028"/>
    </row>
    <row r="17" spans="1:22" ht="18" customHeight="1">
      <c r="A17" s="2084" t="s">
        <v>1797</v>
      </c>
      <c r="B17" s="2034" t="s">
        <v>1798</v>
      </c>
      <c r="C17" s="1054">
        <f>'数据-汇总表'!E3</f>
        <v>5028.579999999999</v>
      </c>
      <c r="D17" s="2085" t="s">
        <v>1799</v>
      </c>
      <c r="E17" s="3034" t="s">
        <v>1800</v>
      </c>
      <c r="F17" s="3035"/>
      <c r="G17" s="3035"/>
      <c r="H17" s="3035"/>
      <c r="I17" s="3036"/>
      <c r="J17" s="2028"/>
      <c r="K17" s="2086"/>
      <c r="L17" s="2081"/>
      <c r="M17" s="2081"/>
      <c r="N17" s="2082"/>
      <c r="O17" s="2081"/>
      <c r="P17" s="2082"/>
      <c r="Q17" s="2028"/>
      <c r="R17" s="2028"/>
      <c r="S17" s="2028"/>
      <c r="T17" s="2028"/>
      <c r="U17" s="2028"/>
      <c r="V17" s="2028"/>
    </row>
    <row r="18" spans="1:22" ht="36" customHeight="1" thickBot="1">
      <c r="A18" s="2087" t="s">
        <v>1801</v>
      </c>
      <c r="B18" s="2037" t="s">
        <v>1802</v>
      </c>
      <c r="C18" s="1444">
        <f>'数据-汇总表'!D3</f>
        <v>563.73</v>
      </c>
      <c r="D18" s="2088" t="s">
        <v>1799</v>
      </c>
      <c r="E18" s="3037" t="s">
        <v>1803</v>
      </c>
      <c r="F18" s="3038"/>
      <c r="G18" s="3038"/>
      <c r="H18" s="3038"/>
      <c r="I18" s="3039"/>
      <c r="J18" s="2028"/>
      <c r="K18" s="2086"/>
      <c r="L18" s="2081"/>
      <c r="M18" s="2081"/>
      <c r="N18" s="2082"/>
      <c r="O18" s="2081"/>
      <c r="P18" s="2082"/>
      <c r="Q18" s="2028"/>
      <c r="R18" s="2028"/>
      <c r="S18" s="2028"/>
      <c r="T18" s="2028"/>
      <c r="U18" s="2028"/>
      <c r="V18" s="2028"/>
    </row>
    <row r="19" spans="1:22" ht="37.5" customHeight="1" thickTop="1" thickBot="1">
      <c r="A19" s="373" t="s">
        <v>1804</v>
      </c>
      <c r="B19" s="352" t="s">
        <v>1805</v>
      </c>
      <c r="C19" s="2089"/>
      <c r="D19" s="2090" t="s">
        <v>1806</v>
      </c>
      <c r="E19" s="2091"/>
      <c r="F19" s="2092" t="str">
        <f>IF(AND(C19="是",E19="否"),"是否提供他项权证或相关说明","")</f>
        <v/>
      </c>
      <c r="G19" s="2093"/>
      <c r="H19" s="2041"/>
      <c r="I19" s="2041"/>
      <c r="J19" s="2041"/>
      <c r="K19" s="2051"/>
      <c r="L19" s="2027"/>
      <c r="M19" s="2027"/>
      <c r="N19" s="2082"/>
      <c r="O19" s="2081"/>
      <c r="P19" s="2082"/>
      <c r="Q19" s="2028"/>
      <c r="R19" s="2028"/>
      <c r="S19" s="2028"/>
      <c r="T19" s="2028"/>
      <c r="U19" s="2028"/>
      <c r="V19" s="2028"/>
    </row>
    <row r="20" spans="1:22" ht="18" customHeight="1">
      <c r="A20" s="2094" t="s">
        <v>1807</v>
      </c>
      <c r="B20" s="3024" t="s">
        <v>1808</v>
      </c>
      <c r="C20" s="3025"/>
      <c r="D20" s="3026" t="s">
        <v>1809</v>
      </c>
      <c r="E20" s="3027"/>
      <c r="F20" s="2095" t="s">
        <v>1810</v>
      </c>
      <c r="G20" s="2041"/>
      <c r="H20" s="2041"/>
      <c r="I20" s="2041"/>
      <c r="J20" s="2041"/>
      <c r="K20" s="3023"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1812</v>
      </c>
      <c r="C21" s="2097" t="s">
        <v>1813</v>
      </c>
      <c r="D21" s="2098" t="s">
        <v>1814</v>
      </c>
      <c r="E21" s="2099" t="s">
        <v>1813</v>
      </c>
      <c r="F21" s="2100"/>
      <c r="G21" s="2041"/>
      <c r="H21" s="2041"/>
      <c r="I21" s="2041"/>
      <c r="J21" s="2041"/>
      <c r="K21" s="302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2"/>
      <c r="O21" s="2081"/>
      <c r="P21" s="2082"/>
      <c r="Q21" s="2028"/>
      <c r="R21" s="2028"/>
      <c r="S21" s="2028"/>
      <c r="T21" s="2028"/>
      <c r="U21" s="2028"/>
      <c r="V21" s="2028"/>
    </row>
    <row r="22" spans="1:22" ht="24.75" customHeight="1" thickBot="1">
      <c r="A22" s="2094"/>
      <c r="B22" s="2101" t="s">
        <v>1815</v>
      </c>
      <c r="C22" s="2097" t="s">
        <v>1816</v>
      </c>
      <c r="D22" s="2025"/>
      <c r="E22" s="2025"/>
      <c r="F22" s="2102"/>
      <c r="G22" s="2041"/>
      <c r="H22" s="2041"/>
      <c r="I22" s="2041"/>
      <c r="J22" s="2041"/>
      <c r="K22" s="302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1817</v>
      </c>
      <c r="B23" s="183" t="s">
        <v>1818</v>
      </c>
      <c r="C23" s="2104"/>
      <c r="D23" s="2105" t="s">
        <v>1818</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1819</v>
      </c>
      <c r="C24" s="2109"/>
      <c r="D24" s="2103" t="s">
        <v>1819</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1820</v>
      </c>
      <c r="C25" s="2109"/>
      <c r="D25" s="2103" t="s">
        <v>1820</v>
      </c>
      <c r="E25" s="2110"/>
      <c r="F25" s="2102"/>
      <c r="G25" s="2041"/>
      <c r="H25" s="2041"/>
      <c r="I25" s="2041"/>
      <c r="J25" s="2041"/>
      <c r="K25" s="2051"/>
      <c r="L25" s="2027"/>
      <c r="M25" s="2027"/>
      <c r="N25" s="2082"/>
      <c r="O25" s="2081"/>
      <c r="P25" s="2082"/>
      <c r="Q25" s="2028"/>
      <c r="R25" s="2028"/>
      <c r="S25" s="2028"/>
      <c r="T25" s="2028"/>
      <c r="U25" s="2028"/>
      <c r="V25" s="2028"/>
    </row>
    <row r="26" spans="1:22" ht="18" customHeight="1" thickBot="1">
      <c r="A26" s="2111"/>
      <c r="B26" s="2112" t="s">
        <v>1821</v>
      </c>
      <c r="C26" s="2113"/>
      <c r="D26" s="2114" t="s">
        <v>1822</v>
      </c>
      <c r="E26" s="2115"/>
      <c r="F26" s="2116"/>
      <c r="G26" s="2059"/>
      <c r="H26" s="2059"/>
      <c r="I26" s="2059"/>
      <c r="J26" s="2041"/>
      <c r="K26" s="2051"/>
      <c r="L26" s="2027"/>
      <c r="M26" s="2027"/>
      <c r="N26" s="2082"/>
      <c r="O26" s="2081"/>
      <c r="P26" s="2082"/>
      <c r="Q26" s="2028"/>
      <c r="R26" s="2028"/>
      <c r="S26" s="2028"/>
      <c r="T26" s="2028"/>
      <c r="U26" s="2028"/>
      <c r="V26" s="2028"/>
    </row>
    <row r="27" spans="1:22" ht="18" customHeight="1" thickTop="1">
      <c r="A27" s="3011" t="s">
        <v>1823</v>
      </c>
      <c r="B27" s="2060" t="s">
        <v>1824</v>
      </c>
      <c r="C27" s="2117" t="s">
        <v>3064</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11"/>
      <c r="B28" s="2034" t="s">
        <v>1825</v>
      </c>
      <c r="C28" s="2119" t="s">
        <v>3065</v>
      </c>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11"/>
      <c r="B29" s="2034" t="s">
        <v>1826</v>
      </c>
      <c r="C29" s="2122" t="s">
        <v>3066</v>
      </c>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12"/>
      <c r="B30" s="2034" t="s">
        <v>1827</v>
      </c>
      <c r="C30" s="3013"/>
      <c r="D30" s="3014"/>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015" t="s">
        <v>1828</v>
      </c>
      <c r="B31" s="2124" t="s">
        <v>3067</v>
      </c>
      <c r="C31" s="2125" t="str">
        <f>IF(B31="现房","成新及维护状况正常否",IF(B31="在建","工程状态是否正常",IF(B31="土地","是否闲置","-")))</f>
        <v>成新及维护状况正常否</v>
      </c>
      <c r="D31" s="2126"/>
      <c r="E31" s="2127"/>
      <c r="F31" s="2041"/>
      <c r="G31" s="2041"/>
      <c r="H31" s="2041"/>
      <c r="I31" s="2041"/>
      <c r="J31" s="2041"/>
      <c r="K31" s="2049"/>
      <c r="L31" s="2027"/>
      <c r="M31" s="2027"/>
      <c r="N31" s="2028"/>
      <c r="O31" s="2029"/>
      <c r="P31" s="2028"/>
      <c r="Q31" s="2028"/>
      <c r="R31" s="2028"/>
      <c r="S31" s="2028"/>
      <c r="T31" s="2028"/>
      <c r="U31" s="2028"/>
      <c r="V31" s="2028"/>
    </row>
    <row r="32" spans="1:22" ht="18" customHeight="1">
      <c r="A32" s="3016"/>
      <c r="B32" s="2124"/>
      <c r="C32" s="2125" t="str">
        <f>IF(B32="现房","成新及维护状况是否正常",IF(B32="在建","工程状态是否正常",IF(B32="土地","是否闲置","-")))</f>
        <v>-</v>
      </c>
      <c r="D32" s="2126"/>
      <c r="E32" s="2127"/>
      <c r="F32" s="2041"/>
      <c r="G32" s="2041"/>
      <c r="H32" s="2041"/>
      <c r="I32" s="2041"/>
      <c r="J32" s="2041"/>
      <c r="K32" s="2051"/>
      <c r="L32" s="2027"/>
      <c r="M32" s="2027"/>
      <c r="N32" s="2028"/>
      <c r="O32" s="2029"/>
      <c r="P32" s="2028"/>
      <c r="Q32" s="2028"/>
      <c r="R32" s="2028"/>
      <c r="S32" s="2028"/>
      <c r="T32" s="2028"/>
      <c r="U32" s="2028"/>
      <c r="V32" s="2028"/>
    </row>
    <row r="33" spans="1:22" ht="18" customHeight="1">
      <c r="A33" s="3016"/>
      <c r="B33" s="2128"/>
      <c r="C33" s="2067" t="str">
        <f>IF(B33="现房","成新及维护状况是否正常",IF(B33="在建","工程状态是否正常",IF(B33="土地","是否闲置","-")))</f>
        <v>-</v>
      </c>
      <c r="D33" s="2129"/>
      <c r="E33" s="2130"/>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1829</v>
      </c>
      <c r="B34" s="2131"/>
      <c r="C34" s="2131"/>
      <c r="D34" s="2131"/>
      <c r="E34" s="2131"/>
      <c r="F34" s="2131"/>
      <c r="G34" s="2131"/>
      <c r="H34" s="2131"/>
      <c r="I34" s="2041"/>
      <c r="J34" s="2041"/>
      <c r="K34" s="1795">
        <f>COUNTIF(B34:H34,"——")</f>
        <v>0</v>
      </c>
      <c r="L34" s="2072" t="s">
        <v>1830</v>
      </c>
      <c r="M34" s="2072" t="s">
        <v>1831</v>
      </c>
      <c r="N34" s="2072" t="s">
        <v>1832</v>
      </c>
      <c r="O34" s="2072" t="s">
        <v>1833</v>
      </c>
      <c r="P34" s="2072" t="s">
        <v>1834</v>
      </c>
      <c r="Q34" s="2072" t="s">
        <v>1835</v>
      </c>
      <c r="R34" s="2072" t="s">
        <v>1836</v>
      </c>
      <c r="S34" s="3010" t="s">
        <v>1837</v>
      </c>
      <c r="T34" s="2132" t="str">
        <f>NUMBERSTRING(7-K34,1)&amp;"通"</f>
        <v>七通</v>
      </c>
      <c r="U34" s="2028"/>
      <c r="V34" s="2028"/>
    </row>
    <row r="35" spans="1:22" ht="18" customHeight="1">
      <c r="A35" s="2133"/>
      <c r="B35" s="3017" t="s">
        <v>1838</v>
      </c>
      <c r="C35" s="3017"/>
      <c r="D35" s="3017"/>
      <c r="E35" s="3017"/>
      <c r="F35" s="2134">
        <f>C10</f>
        <v>0</v>
      </c>
      <c r="G35" s="2041"/>
      <c r="H35" s="2041"/>
      <c r="I35" s="2041"/>
      <c r="J35" s="2041"/>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10"/>
      <c r="T35" s="48" t="str">
        <f>IF(T34="一通",L35,IF(T34="二通",M35,IF(T34="三通",N35,IF(T34="四通",O35,IF(T34="五通",P35,IF(T34="六通",Q35,R35))))))</f>
        <v>、、、、、、</v>
      </c>
      <c r="U35" s="2028"/>
      <c r="V35" s="2028"/>
    </row>
    <row r="36" spans="1:22" ht="18" customHeight="1">
      <c r="A36" s="2135"/>
      <c r="B36" s="2134" t="s">
        <v>1839</v>
      </c>
      <c r="C36" s="2134" t="s">
        <v>1840</v>
      </c>
      <c r="D36" s="2134" t="s">
        <v>1841</v>
      </c>
      <c r="E36" s="2134" t="s">
        <v>1842</v>
      </c>
      <c r="F36" s="2136"/>
      <c r="G36" s="2041"/>
      <c r="H36" s="2041"/>
      <c r="I36" s="2041"/>
      <c r="J36" s="2041"/>
      <c r="K36" s="2051"/>
      <c r="L36" s="2027"/>
      <c r="M36" s="2027"/>
      <c r="N36" s="2028"/>
      <c r="O36" s="2029"/>
      <c r="P36" s="2028"/>
      <c r="Q36" s="2028"/>
      <c r="R36" s="2028"/>
      <c r="S36" s="2028"/>
      <c r="T36" s="2028"/>
      <c r="U36" s="2028"/>
      <c r="V36" s="2028"/>
    </row>
    <row r="37" spans="1:22" ht="18" customHeight="1">
      <c r="A37" s="2137" t="s">
        <v>1843</v>
      </c>
      <c r="B37" s="2138"/>
      <c r="C37" s="2138" t="s">
        <v>269</v>
      </c>
      <c r="D37" s="2138" t="s">
        <v>269</v>
      </c>
      <c r="E37" s="2138"/>
      <c r="F37" s="2136"/>
      <c r="G37" s="2041"/>
      <c r="H37" s="2041"/>
      <c r="I37" s="2041"/>
      <c r="J37" s="2041"/>
      <c r="K37" s="2051"/>
      <c r="L37" s="2027"/>
      <c r="M37" s="2027"/>
      <c r="N37" s="2028"/>
      <c r="O37" s="2029"/>
      <c r="P37" s="2028"/>
      <c r="Q37" s="2028"/>
      <c r="R37" s="2028"/>
      <c r="S37" s="2028"/>
      <c r="T37" s="2028"/>
      <c r="U37" s="2028"/>
      <c r="V37" s="2028"/>
    </row>
    <row r="38" spans="1:22" ht="18" customHeight="1" thickBot="1">
      <c r="A38" s="2139" t="s">
        <v>1844</v>
      </c>
      <c r="B38" s="2140"/>
      <c r="C38" s="2140" t="s">
        <v>138</v>
      </c>
      <c r="D38" s="2140" t="s">
        <v>138</v>
      </c>
      <c r="E38" s="2140"/>
      <c r="F38" s="2141"/>
      <c r="G38" s="2059"/>
      <c r="H38" s="2059"/>
      <c r="I38" s="2059"/>
      <c r="J38" s="2041"/>
      <c r="K38" s="2051"/>
      <c r="L38" s="2027"/>
      <c r="M38" s="2027"/>
      <c r="N38" s="2028"/>
      <c r="O38" s="2029"/>
      <c r="P38" s="2028"/>
      <c r="Q38" s="2028"/>
      <c r="R38" s="2028"/>
      <c r="S38" s="2028"/>
      <c r="T38" s="2028"/>
      <c r="U38" s="2028"/>
      <c r="V38" s="2028"/>
    </row>
    <row r="39" spans="1:22" s="2146" customFormat="1" ht="18" customHeight="1" thickTop="1" thickBot="1">
      <c r="A39" s="2142" t="s">
        <v>1845</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1846</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1847</v>
      </c>
      <c r="B42" s="1795" t="s">
        <v>1848</v>
      </c>
      <c r="C42" s="1795" t="s">
        <v>1849</v>
      </c>
      <c r="D42" s="1795" t="s">
        <v>1850</v>
      </c>
      <c r="E42" s="1795" t="s">
        <v>1851</v>
      </c>
      <c r="F42" s="1795" t="s">
        <v>1852</v>
      </c>
      <c r="G42" s="1795" t="s">
        <v>1853</v>
      </c>
      <c r="H42" s="1795" t="s">
        <v>1854</v>
      </c>
      <c r="I42" s="1795" t="s">
        <v>1855</v>
      </c>
      <c r="J42" s="2150" t="s">
        <v>1856</v>
      </c>
      <c r="K42" s="2073" t="s">
        <v>1857</v>
      </c>
      <c r="L42" s="2073" t="s">
        <v>1858</v>
      </c>
      <c r="M42" s="2073" t="s">
        <v>1859</v>
      </c>
      <c r="N42" s="1795" t="s">
        <v>1860</v>
      </c>
      <c r="O42" s="1795" t="s">
        <v>1861</v>
      </c>
      <c r="P42" s="1795" t="s">
        <v>1862</v>
      </c>
      <c r="Q42" s="2072" t="s">
        <v>1863</v>
      </c>
      <c r="R42" s="2072" t="s">
        <v>1864</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16" sqref="L16"/>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19"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1867</v>
      </c>
      <c r="B2" s="11" t="s">
        <v>1868</v>
      </c>
      <c r="C2" s="11" t="s">
        <v>1869</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1870</v>
      </c>
      <c r="AZ2" s="1270" t="s">
        <v>1871</v>
      </c>
      <c r="BA2" s="11" t="s">
        <v>1872</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563.73</v>
      </c>
      <c r="B3" s="14">
        <f>IF(C3="否",G5-AT5,G5)</f>
        <v>5028.579999999999</v>
      </c>
      <c r="C3" s="2166" t="s">
        <v>1873</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1874</v>
      </c>
      <c r="B5" s="1803"/>
      <c r="C5" s="1803"/>
      <c r="D5" s="1806"/>
      <c r="E5" s="16" t="s">
        <v>1</v>
      </c>
      <c r="F5" s="16">
        <f>SUM(F13:F587)</f>
        <v>0</v>
      </c>
      <c r="G5" s="16">
        <f>SUM(G13:G587)</f>
        <v>5028.579999999999</v>
      </c>
      <c r="H5" s="16">
        <f t="shared" ref="H5:AT5" si="0">SUM(H13:H656)</f>
        <v>5028.579999999999</v>
      </c>
      <c r="I5" s="16">
        <f t="shared" si="0"/>
        <v>5028.579999999999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5028.579999999999</v>
      </c>
      <c r="BA5" s="18">
        <f t="shared" si="1"/>
        <v>5028.579999999999</v>
      </c>
      <c r="BB5" s="18">
        <f t="shared" si="1"/>
        <v>5028.579999999999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1875</v>
      </c>
      <c r="B6" s="2172"/>
      <c r="C6" s="2172"/>
      <c r="D6" s="2173"/>
      <c r="E6" s="16">
        <f>H6+AC6+AT6</f>
        <v>563.73</v>
      </c>
      <c r="F6" s="16" t="s">
        <v>1</v>
      </c>
      <c r="G6" s="16" t="s">
        <v>2</v>
      </c>
      <c r="H6" s="20">
        <f>SUMIF(I$12:AB$12,"总值",I6:AB6)</f>
        <v>563.73</v>
      </c>
      <c r="I6" s="16">
        <f t="shared" ref="I6:AB6" si="2">ROUND($A$3*I5/$B$3,2)</f>
        <v>563.73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1875</v>
      </c>
      <c r="AW6" s="2172"/>
      <c r="AX6" s="2172"/>
      <c r="AY6" s="21">
        <f>IF(AY3&gt;0,AY3,ROUND($A$3*AZ5/$B$3,2))</f>
        <v>563.73</v>
      </c>
      <c r="AZ6" s="16" t="s">
        <v>3</v>
      </c>
      <c r="BA6" s="16">
        <f>ROUND($AY$6*BA5/$AZ$5,2)</f>
        <v>563.73</v>
      </c>
      <c r="BB6" s="16">
        <f>ROUND($AY$6*BB5/$AZ$5,2)</f>
        <v>563.73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1876</v>
      </c>
      <c r="B7" s="2107" t="s">
        <v>1877</v>
      </c>
      <c r="C7" s="2107" t="s">
        <v>1878</v>
      </c>
      <c r="D7" s="2107" t="s">
        <v>1879</v>
      </c>
      <c r="E7" s="2107" t="s">
        <v>1880</v>
      </c>
      <c r="F7" s="2107" t="s">
        <v>1881</v>
      </c>
      <c r="G7" s="2176" t="s">
        <v>1882</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1883</v>
      </c>
      <c r="AV7" s="23" t="s">
        <v>1884</v>
      </c>
      <c r="AW7" s="2164" t="s">
        <v>1885</v>
      </c>
      <c r="AX7" s="23" t="s">
        <v>1878</v>
      </c>
      <c r="AY7" s="1803" t="s">
        <v>1886</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1887</v>
      </c>
      <c r="H8" s="2182" t="s">
        <v>1888</v>
      </c>
      <c r="I8" s="2183"/>
      <c r="J8" s="1818"/>
      <c r="K8" s="1818"/>
      <c r="L8" s="1818"/>
      <c r="M8" s="1818"/>
      <c r="N8" s="1818"/>
      <c r="O8" s="1818"/>
      <c r="P8" s="1818"/>
      <c r="Q8" s="1818"/>
      <c r="R8" s="1818"/>
      <c r="S8" s="1818"/>
      <c r="T8" s="1818"/>
      <c r="U8" s="1818"/>
      <c r="V8" s="2184"/>
      <c r="W8" s="1818"/>
      <c r="X8" s="1818"/>
      <c r="Y8" s="1818"/>
      <c r="Z8" s="1818"/>
      <c r="AA8" s="2184"/>
      <c r="AB8" s="2185"/>
      <c r="AC8" s="981" t="s">
        <v>1889</v>
      </c>
      <c r="AD8" s="2186"/>
      <c r="AE8" s="2178"/>
      <c r="AF8" s="1818"/>
      <c r="AG8" s="1818"/>
      <c r="AH8" s="1818"/>
      <c r="AI8" s="1818"/>
      <c r="AJ8" s="1818"/>
      <c r="AK8" s="1818"/>
      <c r="AL8" s="1818"/>
      <c r="AM8" s="1818"/>
      <c r="AN8" s="1818"/>
      <c r="AO8" s="1818"/>
      <c r="AP8" s="1818"/>
      <c r="AQ8" s="1818"/>
      <c r="AR8" s="1818"/>
      <c r="AS8" s="1818"/>
      <c r="AT8" s="1292" t="s">
        <v>1890</v>
      </c>
      <c r="AU8" s="2180" t="s">
        <v>1891</v>
      </c>
      <c r="AV8" s="1292"/>
      <c r="AW8" s="2163"/>
      <c r="AX8" s="1292"/>
      <c r="AY8" s="2164"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1894</v>
      </c>
      <c r="I9" s="2189" t="s">
        <v>3069</v>
      </c>
      <c r="J9" s="981"/>
      <c r="K9" s="2189"/>
      <c r="L9" s="981"/>
      <c r="M9" s="2189"/>
      <c r="N9" s="981"/>
      <c r="O9" s="2189"/>
      <c r="P9" s="981"/>
      <c r="Q9" s="2189"/>
      <c r="R9" s="981"/>
      <c r="S9" s="2189"/>
      <c r="T9" s="981"/>
      <c r="U9" s="2189"/>
      <c r="V9" s="981"/>
      <c r="W9" s="2189"/>
      <c r="X9" s="2190"/>
      <c r="Y9" s="2189"/>
      <c r="Z9" s="981"/>
      <c r="AA9" s="2189"/>
      <c r="AB9" s="981"/>
      <c r="AC9" s="2181"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1"/>
      <c r="AT9" s="2180"/>
      <c r="AU9" s="2180" t="s">
        <v>1897</v>
      </c>
      <c r="AV9" s="1292"/>
      <c r="AW9" s="2163"/>
      <c r="AX9" s="1292"/>
      <c r="AY9" s="28"/>
      <c r="AZ9" s="28" t="s">
        <v>1887</v>
      </c>
      <c r="BA9" s="2192" t="s">
        <v>1898</v>
      </c>
      <c r="BB9" s="2193"/>
      <c r="BC9" s="1338"/>
      <c r="BD9" s="1338"/>
      <c r="BE9" s="1338"/>
      <c r="BF9" s="1338"/>
      <c r="BG9" s="1338"/>
      <c r="BH9" s="1338"/>
      <c r="BI9" s="1338"/>
      <c r="BJ9" s="1338"/>
      <c r="BK9" s="2194"/>
      <c r="BL9" s="15" t="s">
        <v>1899</v>
      </c>
      <c r="BM9" s="1818"/>
      <c r="BN9" s="2183"/>
      <c r="BO9" s="1818"/>
      <c r="BP9" s="1818"/>
      <c r="BQ9" s="1818"/>
      <c r="BR9" s="1818"/>
      <c r="BS9" s="1818"/>
      <c r="BT9" s="26"/>
    </row>
    <row r="10" spans="1:72" s="2187" customFormat="1" ht="12.75">
      <c r="A10" s="2180"/>
      <c r="B10" s="2180"/>
      <c r="C10" s="2180"/>
      <c r="D10" s="2180"/>
      <c r="E10" s="2180"/>
      <c r="F10" s="2180"/>
      <c r="G10" s="1292"/>
      <c r="H10" s="28"/>
      <c r="I10" s="2189" t="s">
        <v>27</v>
      </c>
      <c r="J10" s="981"/>
      <c r="K10" s="2195"/>
      <c r="L10" s="981"/>
      <c r="M10" s="2195"/>
      <c r="N10" s="981"/>
      <c r="O10" s="2195"/>
      <c r="P10" s="981"/>
      <c r="Q10" s="2195"/>
      <c r="R10" s="981"/>
      <c r="S10" s="2195"/>
      <c r="T10" s="981"/>
      <c r="U10" s="2195"/>
      <c r="V10" s="981"/>
      <c r="W10" s="2195"/>
      <c r="X10" s="981"/>
      <c r="Y10" s="2195"/>
      <c r="Z10" s="981"/>
      <c r="AA10" s="2195"/>
      <c r="AB10" s="981"/>
      <c r="AC10" s="1292"/>
      <c r="AD10" s="15" t="s">
        <v>1900</v>
      </c>
      <c r="AE10" s="2196"/>
      <c r="AF10" s="15" t="s">
        <v>1900</v>
      </c>
      <c r="AG10" s="2196"/>
      <c r="AH10" s="15" t="s">
        <v>1901</v>
      </c>
      <c r="AI10" s="2196"/>
      <c r="AJ10" s="15" t="s">
        <v>1901</v>
      </c>
      <c r="AK10" s="2196"/>
      <c r="AL10" s="15" t="s">
        <v>1902</v>
      </c>
      <c r="AM10" s="1298"/>
      <c r="AN10" s="15" t="s">
        <v>1902</v>
      </c>
      <c r="AO10" s="1298"/>
      <c r="AP10" s="15" t="s">
        <v>1903</v>
      </c>
      <c r="AQ10" s="1298"/>
      <c r="AR10" s="15" t="s">
        <v>1903</v>
      </c>
      <c r="AS10" s="1298"/>
      <c r="AT10" s="2180"/>
      <c r="AU10" s="2180"/>
      <c r="AV10" s="1292"/>
      <c r="AW10" s="2163"/>
      <c r="AX10" s="1292"/>
      <c r="AY10" s="28"/>
      <c r="AZ10" s="28"/>
      <c r="BA10" s="2197" t="s">
        <v>1894</v>
      </c>
      <c r="BB10" s="2198" t="str">
        <f>I9</f>
        <v>地上</v>
      </c>
      <c r="BC10" s="29">
        <f>K9</f>
        <v>0</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t="s">
        <v>3070</v>
      </c>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1904</v>
      </c>
      <c r="AE11" s="1819"/>
      <c r="AF11" s="2202" t="s">
        <v>1904</v>
      </c>
      <c r="AG11" s="1819"/>
      <c r="AH11" s="2202" t="s">
        <v>1905</v>
      </c>
      <c r="AI11" s="2203"/>
      <c r="AJ11" s="2202" t="s">
        <v>1905</v>
      </c>
      <c r="AK11" s="1819"/>
      <c r="AL11" s="1817"/>
      <c r="AM11" s="1819"/>
      <c r="AN11" s="1817"/>
      <c r="AO11" s="1819"/>
      <c r="AP11" s="1817"/>
      <c r="AQ11" s="1819"/>
      <c r="AR11" s="1817"/>
      <c r="AS11" s="1819"/>
      <c r="AT11" s="2163"/>
      <c r="AU11" s="2180"/>
      <c r="AV11" s="1292"/>
      <c r="AW11" s="2163"/>
      <c r="AX11" s="1292"/>
      <c r="AY11" s="28"/>
      <c r="AZ11" s="28"/>
      <c r="BA11" s="28"/>
      <c r="BB11" s="2185" t="str">
        <f>I10</f>
        <v>办公</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7"/>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5" t="s">
        <v>1907</v>
      </c>
      <c r="AT12" s="2208"/>
      <c r="AU12" s="2205"/>
      <c r="AV12" s="31"/>
      <c r="AW12" s="2164"/>
      <c r="AX12" s="31"/>
      <c r="AY12" s="2209"/>
      <c r="AZ12" s="28"/>
      <c r="BA12" s="2197"/>
      <c r="BB12" s="24" t="str">
        <f>I11</f>
        <v>办公楼</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v>1</v>
      </c>
      <c r="B13" s="1272"/>
      <c r="C13" s="1272"/>
      <c r="D13" s="2211" t="s">
        <v>3068</v>
      </c>
      <c r="E13" s="16">
        <f>IF($C$3="是",ROUND($A$3*G13/$B$3,2),ROUND($A$3*(G13-AT13)/$B$3,2))</f>
        <v>1.38</v>
      </c>
      <c r="F13" s="32"/>
      <c r="G13" s="33">
        <f>H13+AC13+AT13</f>
        <v>12.28</v>
      </c>
      <c r="H13" s="20">
        <f>SUMIF(I$12:AB$12,"总值",I13:AB13)</f>
        <v>12.28</v>
      </c>
      <c r="I13" s="2953">
        <v>12.28</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1</v>
      </c>
      <c r="AW13" s="11">
        <f t="shared" si="6"/>
        <v>0</v>
      </c>
      <c r="AX13" s="11">
        <f t="shared" si="6"/>
        <v>0</v>
      </c>
      <c r="AY13" s="1806">
        <f>ROUND($AY$6*AZ13/$AZ$5,2)</f>
        <v>1.38</v>
      </c>
      <c r="AZ13" s="16">
        <f>BA13+BL13</f>
        <v>12.28</v>
      </c>
      <c r="BA13" s="16">
        <f>SUM(BB13:BK13)</f>
        <v>12.28</v>
      </c>
      <c r="BB13" s="16">
        <f>IF($D13="是",I13-J13,0)</f>
        <v>12.28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v>2</v>
      </c>
      <c r="B14" s="1272"/>
      <c r="C14" s="2151"/>
      <c r="D14" s="2211" t="s">
        <v>3068</v>
      </c>
      <c r="E14" s="16">
        <f>IF($C$3="是",ROUND($A$3*G14/$B$3,2),ROUND($A$3*(G14-AT14)/$B$3,2))</f>
        <v>1.38</v>
      </c>
      <c r="F14" s="32"/>
      <c r="G14" s="33">
        <f>H14+AC14+AT14</f>
        <v>12.28</v>
      </c>
      <c r="H14" s="20">
        <f>SUMIF(I$12:AB$12,"总值",I14:AB14)</f>
        <v>12.28</v>
      </c>
      <c r="I14" s="2953">
        <v>12.28</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2</v>
      </c>
      <c r="AW14" s="11">
        <f t="shared" si="6"/>
        <v>0</v>
      </c>
      <c r="AX14" s="11">
        <f t="shared" si="6"/>
        <v>0</v>
      </c>
      <c r="AY14" s="1806">
        <f>ROUND($AY$6*AZ14/$AZ$5,2)</f>
        <v>1.38</v>
      </c>
      <c r="AZ14" s="16">
        <f>BA14+BL14</f>
        <v>12.28</v>
      </c>
      <c r="BA14" s="16">
        <f>SUM(BB14:BK14)</f>
        <v>12.28</v>
      </c>
      <c r="BB14" s="16">
        <f>IF($D14="是",I14-J14,0)</f>
        <v>12.28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2">
        <v>3</v>
      </c>
      <c r="B15" s="1272"/>
      <c r="C15" s="2151"/>
      <c r="D15" s="2211" t="s">
        <v>3068</v>
      </c>
      <c r="E15" s="16">
        <f>IF($C$3="是",ROUND($A$3*G15/$B$3,2),ROUND($A$3*(G15-AT15)/$B$3,2))</f>
        <v>1.38</v>
      </c>
      <c r="F15" s="32"/>
      <c r="G15" s="33">
        <f>H15+AC15+AT15</f>
        <v>12.28</v>
      </c>
      <c r="H15" s="20">
        <f>SUMIF(I$12:AB$12,"总值",I15:AB15)</f>
        <v>12.28</v>
      </c>
      <c r="I15" s="2953">
        <v>12.28</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3</v>
      </c>
      <c r="AW15" s="11">
        <f t="shared" si="6"/>
        <v>0</v>
      </c>
      <c r="AX15" s="11">
        <f t="shared" si="6"/>
        <v>0</v>
      </c>
      <c r="AY15" s="1806">
        <f>ROUND($AY$6*AZ15/$AZ$5,2)</f>
        <v>1.38</v>
      </c>
      <c r="AZ15" s="16">
        <f>BA15+BL15</f>
        <v>12.28</v>
      </c>
      <c r="BA15" s="16">
        <f>SUM(BB15:BK15)</f>
        <v>12.28</v>
      </c>
      <c r="BB15" s="16">
        <f>IF($D15="是",I15-J15,0)</f>
        <v>12.28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v>4</v>
      </c>
      <c r="B16" s="1272"/>
      <c r="C16" s="2151"/>
      <c r="D16" s="2211" t="s">
        <v>3068</v>
      </c>
      <c r="E16" s="16">
        <f>IF($C$3="是",ROUND($A$3*G16/$B$3,2),ROUND($A$3*(G16-AT16)/$B$3,2))</f>
        <v>1.38</v>
      </c>
      <c r="F16" s="32"/>
      <c r="G16" s="33">
        <f>H16+AC16+AT16</f>
        <v>12.28</v>
      </c>
      <c r="H16" s="20">
        <f>SUMIF(I$12:AB$12,"总值",I16:AB16)</f>
        <v>12.28</v>
      </c>
      <c r="I16" s="2953">
        <v>12.28</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4</v>
      </c>
      <c r="AW16" s="11">
        <f t="shared" si="6"/>
        <v>0</v>
      </c>
      <c r="AX16" s="11">
        <f t="shared" si="6"/>
        <v>0</v>
      </c>
      <c r="AY16" s="1806">
        <f>ROUND($AY$6*AZ16/$AZ$5,2)</f>
        <v>1.38</v>
      </c>
      <c r="AZ16" s="16">
        <f>BA16+BL16</f>
        <v>12.28</v>
      </c>
      <c r="BA16" s="16">
        <f>SUM(BB16:BK16)</f>
        <v>12.28</v>
      </c>
      <c r="BB16" s="16">
        <f>IF($D16="是",I16-J16,0)</f>
        <v>12.28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v>5</v>
      </c>
      <c r="B17" s="1272"/>
      <c r="C17" s="2151"/>
      <c r="D17" s="2211" t="s">
        <v>3068</v>
      </c>
      <c r="E17" s="16">
        <f>IF($C$3="是",ROUND($A$3*G17/$B$3,2),ROUND($A$3*(G17-AT17)/$B$3,2))</f>
        <v>1.38</v>
      </c>
      <c r="F17" s="32"/>
      <c r="G17" s="33">
        <f>H17+AC17+AT17</f>
        <v>12.28</v>
      </c>
      <c r="H17" s="20">
        <f>SUMIF(I$12:AB$12,"总值",I17:AB17)</f>
        <v>12.28</v>
      </c>
      <c r="I17" s="2953">
        <v>12.28</v>
      </c>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5</v>
      </c>
      <c r="AW17" s="11">
        <f t="shared" si="6"/>
        <v>0</v>
      </c>
      <c r="AX17" s="11">
        <f t="shared" si="6"/>
        <v>0</v>
      </c>
      <c r="AY17" s="1806">
        <f>ROUND($AY$6*AZ17/$AZ$5,2)</f>
        <v>1.38</v>
      </c>
      <c r="AZ17" s="16">
        <f>BA17+BL17</f>
        <v>12.28</v>
      </c>
      <c r="BA17" s="16">
        <f>SUM(BB17:BK17)</f>
        <v>12.28</v>
      </c>
      <c r="BB17" s="16">
        <f>IF($D17="是",I17-J17,0)</f>
        <v>12.28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2">
        <v>6</v>
      </c>
      <c r="B18" s="34"/>
      <c r="C18" s="34"/>
      <c r="D18" s="2952" t="s">
        <v>3068</v>
      </c>
      <c r="E18" s="16">
        <f t="shared" ref="E18:E112" si="7">IF($C$3="是",ROUND($A$3*G18/$B$3,2),ROUND($A$3*(G18-AT18)/$B$3,2))</f>
        <v>1.38</v>
      </c>
      <c r="F18" s="36"/>
      <c r="G18" s="37">
        <f t="shared" ref="G18:G109" si="8">H18+AC18+AT18</f>
        <v>12.28</v>
      </c>
      <c r="H18" s="38">
        <f t="shared" ref="H18:H109" si="9">SUMIF(I$12:AB$12,"总值",I18:AB18)</f>
        <v>12.28</v>
      </c>
      <c r="I18" s="2953">
        <v>12.28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6</v>
      </c>
      <c r="AW18" s="1795">
        <f t="shared" ref="AW18:AW112" si="12">B18</f>
        <v>0</v>
      </c>
      <c r="AX18" s="1795">
        <f t="shared" ref="AX18:AX112" si="13">C18</f>
        <v>0</v>
      </c>
      <c r="AY18" s="42">
        <f t="shared" ref="AY18:AY109" si="14">ROUND($AY$6*AZ18/$AZ$5,2)</f>
        <v>1.38</v>
      </c>
      <c r="AZ18" s="35">
        <f t="shared" ref="AZ18:AZ109" si="15">BA18+BL18</f>
        <v>12.28</v>
      </c>
      <c r="BA18" s="35">
        <f t="shared" ref="BA18:BA109" si="16">SUM(BB18:BK18)</f>
        <v>12.28</v>
      </c>
      <c r="BB18" s="35">
        <f t="shared" ref="BB18:BB109" si="17">IF($D18="是",I18-J18,0)</f>
        <v>12.28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2">
        <v>7</v>
      </c>
      <c r="B19" s="34"/>
      <c r="C19" s="34"/>
      <c r="D19" s="2952" t="s">
        <v>3068</v>
      </c>
      <c r="E19" s="16">
        <f t="shared" si="7"/>
        <v>1.38</v>
      </c>
      <c r="F19" s="36"/>
      <c r="G19" s="37">
        <f t="shared" si="8"/>
        <v>12.28</v>
      </c>
      <c r="H19" s="38">
        <f t="shared" si="9"/>
        <v>12.28</v>
      </c>
      <c r="I19" s="2953">
        <v>12.28</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7</v>
      </c>
      <c r="AW19" s="1795">
        <f t="shared" si="12"/>
        <v>0</v>
      </c>
      <c r="AX19" s="1795">
        <f t="shared" si="13"/>
        <v>0</v>
      </c>
      <c r="AY19" s="42">
        <f t="shared" si="14"/>
        <v>1.38</v>
      </c>
      <c r="AZ19" s="35">
        <f t="shared" si="15"/>
        <v>12.28</v>
      </c>
      <c r="BA19" s="35">
        <f t="shared" si="16"/>
        <v>12.28</v>
      </c>
      <c r="BB19" s="35">
        <f t="shared" si="17"/>
        <v>12.28</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2">
        <v>8</v>
      </c>
      <c r="B20" s="34"/>
      <c r="C20" s="34"/>
      <c r="D20" s="2952" t="s">
        <v>3068</v>
      </c>
      <c r="E20" s="16">
        <f t="shared" si="7"/>
        <v>1.38</v>
      </c>
      <c r="F20" s="36"/>
      <c r="G20" s="37">
        <f t="shared" si="8"/>
        <v>12.28</v>
      </c>
      <c r="H20" s="38">
        <f t="shared" si="9"/>
        <v>12.28</v>
      </c>
      <c r="I20" s="2953">
        <v>12.28</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8</v>
      </c>
      <c r="AW20" s="1795">
        <f t="shared" si="12"/>
        <v>0</v>
      </c>
      <c r="AX20" s="1795">
        <f t="shared" si="13"/>
        <v>0</v>
      </c>
      <c r="AY20" s="42">
        <f t="shared" si="14"/>
        <v>1.38</v>
      </c>
      <c r="AZ20" s="35">
        <f t="shared" si="15"/>
        <v>12.28</v>
      </c>
      <c r="BA20" s="35">
        <f t="shared" si="16"/>
        <v>12.28</v>
      </c>
      <c r="BB20" s="35">
        <f t="shared" si="17"/>
        <v>12.28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1272">
        <v>9</v>
      </c>
      <c r="B21" s="34"/>
      <c r="C21" s="34"/>
      <c r="D21" s="2952" t="s">
        <v>3068</v>
      </c>
      <c r="E21" s="16">
        <f t="shared" si="7"/>
        <v>1.38</v>
      </c>
      <c r="F21" s="36"/>
      <c r="G21" s="37">
        <f t="shared" si="8"/>
        <v>12.28</v>
      </c>
      <c r="H21" s="38">
        <f t="shared" si="9"/>
        <v>12.28</v>
      </c>
      <c r="I21" s="2953">
        <v>12.28</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9</v>
      </c>
      <c r="AW21" s="1795">
        <f t="shared" si="12"/>
        <v>0</v>
      </c>
      <c r="AX21" s="1795">
        <f t="shared" si="13"/>
        <v>0</v>
      </c>
      <c r="AY21" s="42">
        <f t="shared" si="14"/>
        <v>1.38</v>
      </c>
      <c r="AZ21" s="35">
        <f t="shared" si="15"/>
        <v>12.28</v>
      </c>
      <c r="BA21" s="35">
        <f t="shared" si="16"/>
        <v>12.28</v>
      </c>
      <c r="BB21" s="35">
        <f t="shared" si="17"/>
        <v>12.28</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1272">
        <v>10</v>
      </c>
      <c r="B22" s="34"/>
      <c r="C22" s="34"/>
      <c r="D22" s="2952" t="s">
        <v>3068</v>
      </c>
      <c r="E22" s="16">
        <f t="shared" si="7"/>
        <v>1.38</v>
      </c>
      <c r="F22" s="36"/>
      <c r="G22" s="37">
        <f t="shared" si="8"/>
        <v>12.28</v>
      </c>
      <c r="H22" s="38">
        <f t="shared" si="9"/>
        <v>12.28</v>
      </c>
      <c r="I22" s="2953">
        <v>12.28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10</v>
      </c>
      <c r="AW22" s="1795">
        <f t="shared" si="12"/>
        <v>0</v>
      </c>
      <c r="AX22" s="1795">
        <f t="shared" si="13"/>
        <v>0</v>
      </c>
      <c r="AY22" s="42">
        <f t="shared" si="14"/>
        <v>1.38</v>
      </c>
      <c r="AZ22" s="35">
        <f t="shared" si="15"/>
        <v>12.28</v>
      </c>
      <c r="BA22" s="35">
        <f t="shared" si="16"/>
        <v>12.28</v>
      </c>
      <c r="BB22" s="35">
        <f t="shared" si="17"/>
        <v>12.28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1272">
        <v>11</v>
      </c>
      <c r="B23" s="34"/>
      <c r="C23" s="34"/>
      <c r="D23" s="2952" t="s">
        <v>3068</v>
      </c>
      <c r="E23" s="16">
        <f t="shared" si="7"/>
        <v>1.38</v>
      </c>
      <c r="F23" s="36"/>
      <c r="G23" s="37">
        <f t="shared" si="8"/>
        <v>12.28</v>
      </c>
      <c r="H23" s="38">
        <f t="shared" si="9"/>
        <v>12.28</v>
      </c>
      <c r="I23" s="2953">
        <v>12.28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11</v>
      </c>
      <c r="AW23" s="1795">
        <f t="shared" si="12"/>
        <v>0</v>
      </c>
      <c r="AX23" s="1795">
        <f t="shared" si="13"/>
        <v>0</v>
      </c>
      <c r="AY23" s="42">
        <f t="shared" si="14"/>
        <v>1.38</v>
      </c>
      <c r="AZ23" s="35">
        <f t="shared" si="15"/>
        <v>12.28</v>
      </c>
      <c r="BA23" s="35">
        <f t="shared" si="16"/>
        <v>12.28</v>
      </c>
      <c r="BB23" s="35">
        <f t="shared" si="17"/>
        <v>12.28</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1272">
        <v>12</v>
      </c>
      <c r="B24" s="34"/>
      <c r="C24" s="34"/>
      <c r="D24" s="2952" t="s">
        <v>3068</v>
      </c>
      <c r="E24" s="16">
        <f t="shared" si="7"/>
        <v>1.38</v>
      </c>
      <c r="F24" s="36"/>
      <c r="G24" s="37">
        <f t="shared" si="8"/>
        <v>12.28</v>
      </c>
      <c r="H24" s="38">
        <f t="shared" si="9"/>
        <v>12.28</v>
      </c>
      <c r="I24" s="2953">
        <v>12.28</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12</v>
      </c>
      <c r="AW24" s="1795">
        <f t="shared" si="12"/>
        <v>0</v>
      </c>
      <c r="AX24" s="1795">
        <f t="shared" si="13"/>
        <v>0</v>
      </c>
      <c r="AY24" s="42">
        <f t="shared" si="14"/>
        <v>1.38</v>
      </c>
      <c r="AZ24" s="35">
        <f t="shared" si="15"/>
        <v>12.28</v>
      </c>
      <c r="BA24" s="35">
        <f t="shared" si="16"/>
        <v>12.28</v>
      </c>
      <c r="BB24" s="35">
        <f t="shared" si="17"/>
        <v>12.28</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1272">
        <v>13</v>
      </c>
      <c r="B25" s="34"/>
      <c r="C25" s="34"/>
      <c r="D25" s="2952" t="s">
        <v>3068</v>
      </c>
      <c r="E25" s="16">
        <f t="shared" si="7"/>
        <v>3.59</v>
      </c>
      <c r="F25" s="36"/>
      <c r="G25" s="37">
        <f t="shared" si="8"/>
        <v>32.04</v>
      </c>
      <c r="H25" s="38">
        <f t="shared" si="9"/>
        <v>32.04</v>
      </c>
      <c r="I25" s="2953">
        <v>32.04</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13</v>
      </c>
      <c r="AW25" s="1795">
        <f t="shared" si="12"/>
        <v>0</v>
      </c>
      <c r="AX25" s="1795">
        <f t="shared" si="13"/>
        <v>0</v>
      </c>
      <c r="AY25" s="42">
        <f t="shared" si="14"/>
        <v>3.59</v>
      </c>
      <c r="AZ25" s="35">
        <f t="shared" si="15"/>
        <v>32.04</v>
      </c>
      <c r="BA25" s="35">
        <f t="shared" si="16"/>
        <v>32.04</v>
      </c>
      <c r="BB25" s="35">
        <f t="shared" si="17"/>
        <v>32.04</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1272">
        <v>14</v>
      </c>
      <c r="B26" s="34"/>
      <c r="C26" s="34"/>
      <c r="D26" s="2952" t="s">
        <v>3068</v>
      </c>
      <c r="E26" s="16">
        <f t="shared" si="7"/>
        <v>4.8499999999999996</v>
      </c>
      <c r="F26" s="36"/>
      <c r="G26" s="37">
        <f t="shared" si="8"/>
        <v>43.3</v>
      </c>
      <c r="H26" s="38">
        <f t="shared" si="9"/>
        <v>43.3</v>
      </c>
      <c r="I26" s="2953">
        <v>43.3</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14</v>
      </c>
      <c r="AW26" s="1795">
        <f t="shared" si="12"/>
        <v>0</v>
      </c>
      <c r="AX26" s="1795">
        <f t="shared" si="13"/>
        <v>0</v>
      </c>
      <c r="AY26" s="42">
        <f t="shared" si="14"/>
        <v>4.8499999999999996</v>
      </c>
      <c r="AZ26" s="35">
        <f t="shared" si="15"/>
        <v>43.3</v>
      </c>
      <c r="BA26" s="35">
        <f t="shared" si="16"/>
        <v>43.3</v>
      </c>
      <c r="BB26" s="35">
        <f t="shared" si="17"/>
        <v>43.3</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1272">
        <v>15</v>
      </c>
      <c r="B27" s="34"/>
      <c r="C27" s="34"/>
      <c r="D27" s="2952" t="s">
        <v>3068</v>
      </c>
      <c r="E27" s="16">
        <f t="shared" si="7"/>
        <v>4.7699999999999996</v>
      </c>
      <c r="F27" s="36"/>
      <c r="G27" s="37">
        <f t="shared" si="8"/>
        <v>42.59</v>
      </c>
      <c r="H27" s="38">
        <f t="shared" si="9"/>
        <v>42.59</v>
      </c>
      <c r="I27" s="2953">
        <v>42.59</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15</v>
      </c>
      <c r="AW27" s="1795">
        <f t="shared" si="12"/>
        <v>0</v>
      </c>
      <c r="AX27" s="1795">
        <f t="shared" si="13"/>
        <v>0</v>
      </c>
      <c r="AY27" s="42">
        <f t="shared" si="14"/>
        <v>4.7699999999999996</v>
      </c>
      <c r="AZ27" s="35">
        <f t="shared" si="15"/>
        <v>42.59</v>
      </c>
      <c r="BA27" s="35">
        <f t="shared" si="16"/>
        <v>42.59</v>
      </c>
      <c r="BB27" s="35">
        <f t="shared" si="17"/>
        <v>42.59</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1272">
        <v>16</v>
      </c>
      <c r="B28" s="34"/>
      <c r="C28" s="34"/>
      <c r="D28" s="2952" t="s">
        <v>3068</v>
      </c>
      <c r="E28" s="16">
        <f t="shared" si="7"/>
        <v>4.93</v>
      </c>
      <c r="F28" s="36"/>
      <c r="G28" s="37">
        <f t="shared" si="8"/>
        <v>43.95</v>
      </c>
      <c r="H28" s="38">
        <f t="shared" si="9"/>
        <v>43.95</v>
      </c>
      <c r="I28" s="2953">
        <v>43.95</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16</v>
      </c>
      <c r="AW28" s="1795">
        <f t="shared" si="12"/>
        <v>0</v>
      </c>
      <c r="AX28" s="1795">
        <f t="shared" si="13"/>
        <v>0</v>
      </c>
      <c r="AY28" s="42">
        <f t="shared" si="14"/>
        <v>4.93</v>
      </c>
      <c r="AZ28" s="35">
        <f t="shared" si="15"/>
        <v>43.95</v>
      </c>
      <c r="BA28" s="35">
        <f t="shared" si="16"/>
        <v>43.95</v>
      </c>
      <c r="BB28" s="35">
        <f t="shared" si="17"/>
        <v>43.95</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1272">
        <v>17</v>
      </c>
      <c r="B29" s="34"/>
      <c r="C29" s="34"/>
      <c r="D29" s="2952" t="s">
        <v>3068</v>
      </c>
      <c r="E29" s="16">
        <f t="shared" si="7"/>
        <v>4.9000000000000004</v>
      </c>
      <c r="F29" s="36"/>
      <c r="G29" s="37">
        <f t="shared" si="8"/>
        <v>43.72</v>
      </c>
      <c r="H29" s="38">
        <f t="shared" si="9"/>
        <v>43.72</v>
      </c>
      <c r="I29" s="2953">
        <v>43.72</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17</v>
      </c>
      <c r="AW29" s="1795">
        <f t="shared" si="12"/>
        <v>0</v>
      </c>
      <c r="AX29" s="1795">
        <f t="shared" si="13"/>
        <v>0</v>
      </c>
      <c r="AY29" s="42">
        <f t="shared" si="14"/>
        <v>4.9000000000000004</v>
      </c>
      <c r="AZ29" s="35">
        <f t="shared" si="15"/>
        <v>43.72</v>
      </c>
      <c r="BA29" s="35">
        <f t="shared" si="16"/>
        <v>43.72</v>
      </c>
      <c r="BB29" s="35">
        <f t="shared" si="17"/>
        <v>43.72</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1272">
        <v>18</v>
      </c>
      <c r="B30" s="34"/>
      <c r="C30" s="34"/>
      <c r="D30" s="2952" t="s">
        <v>3068</v>
      </c>
      <c r="E30" s="16">
        <f t="shared" si="7"/>
        <v>5.03</v>
      </c>
      <c r="F30" s="36"/>
      <c r="G30" s="37">
        <f t="shared" si="8"/>
        <v>44.88</v>
      </c>
      <c r="H30" s="38">
        <f t="shared" si="9"/>
        <v>44.88</v>
      </c>
      <c r="I30" s="2953">
        <v>44.88</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18</v>
      </c>
      <c r="AW30" s="1795">
        <f t="shared" si="12"/>
        <v>0</v>
      </c>
      <c r="AX30" s="1795">
        <f t="shared" si="13"/>
        <v>0</v>
      </c>
      <c r="AY30" s="42">
        <f t="shared" si="14"/>
        <v>5.03</v>
      </c>
      <c r="AZ30" s="35">
        <f t="shared" si="15"/>
        <v>44.88</v>
      </c>
      <c r="BA30" s="35">
        <f t="shared" si="16"/>
        <v>44.88</v>
      </c>
      <c r="BB30" s="35">
        <f t="shared" si="17"/>
        <v>44.88</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1272">
        <v>19</v>
      </c>
      <c r="B31" s="34"/>
      <c r="C31" s="34"/>
      <c r="D31" s="2952" t="s">
        <v>3068</v>
      </c>
      <c r="E31" s="16">
        <f t="shared" si="7"/>
        <v>4.82</v>
      </c>
      <c r="F31" s="36"/>
      <c r="G31" s="37">
        <f t="shared" si="8"/>
        <v>42.99</v>
      </c>
      <c r="H31" s="38">
        <f t="shared" si="9"/>
        <v>42.99</v>
      </c>
      <c r="I31" s="2953">
        <v>42.99</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19</v>
      </c>
      <c r="AW31" s="1795">
        <f t="shared" si="12"/>
        <v>0</v>
      </c>
      <c r="AX31" s="1795">
        <f t="shared" si="13"/>
        <v>0</v>
      </c>
      <c r="AY31" s="42">
        <f t="shared" si="14"/>
        <v>4.82</v>
      </c>
      <c r="AZ31" s="35">
        <f t="shared" si="15"/>
        <v>42.99</v>
      </c>
      <c r="BA31" s="35">
        <f t="shared" si="16"/>
        <v>42.99</v>
      </c>
      <c r="BB31" s="35">
        <f t="shared" si="17"/>
        <v>42.99</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1272">
        <v>20</v>
      </c>
      <c r="B32" s="34"/>
      <c r="C32" s="34"/>
      <c r="D32" s="2952" t="s">
        <v>3068</v>
      </c>
      <c r="E32" s="16">
        <f t="shared" si="7"/>
        <v>4.1399999999999997</v>
      </c>
      <c r="F32" s="36"/>
      <c r="G32" s="37">
        <f t="shared" si="8"/>
        <v>36.950000000000003</v>
      </c>
      <c r="H32" s="38">
        <f t="shared" si="9"/>
        <v>36.950000000000003</v>
      </c>
      <c r="I32" s="2953">
        <v>36.950000000000003</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20</v>
      </c>
      <c r="AW32" s="1795">
        <f t="shared" si="12"/>
        <v>0</v>
      </c>
      <c r="AX32" s="1795">
        <f t="shared" si="13"/>
        <v>0</v>
      </c>
      <c r="AY32" s="42">
        <f t="shared" si="14"/>
        <v>4.1399999999999997</v>
      </c>
      <c r="AZ32" s="35">
        <f t="shared" si="15"/>
        <v>36.950000000000003</v>
      </c>
      <c r="BA32" s="35">
        <f t="shared" si="16"/>
        <v>36.950000000000003</v>
      </c>
      <c r="BB32" s="35">
        <f t="shared" si="17"/>
        <v>36.950000000000003</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1272">
        <v>21</v>
      </c>
      <c r="B33" s="34"/>
      <c r="C33" s="34"/>
      <c r="D33" s="2952" t="s">
        <v>3068</v>
      </c>
      <c r="E33" s="16">
        <f t="shared" si="7"/>
        <v>1.96</v>
      </c>
      <c r="F33" s="36"/>
      <c r="G33" s="37">
        <f t="shared" si="8"/>
        <v>17.5</v>
      </c>
      <c r="H33" s="38">
        <f t="shared" si="9"/>
        <v>17.5</v>
      </c>
      <c r="I33" s="2953">
        <v>17.5</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21</v>
      </c>
      <c r="AW33" s="1795">
        <f t="shared" si="12"/>
        <v>0</v>
      </c>
      <c r="AX33" s="1795">
        <f t="shared" si="13"/>
        <v>0</v>
      </c>
      <c r="AY33" s="42">
        <f t="shared" si="14"/>
        <v>1.96</v>
      </c>
      <c r="AZ33" s="35">
        <f t="shared" si="15"/>
        <v>17.5</v>
      </c>
      <c r="BA33" s="35">
        <f t="shared" si="16"/>
        <v>17.5</v>
      </c>
      <c r="BB33" s="35">
        <f t="shared" si="17"/>
        <v>17.5</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1272">
        <v>22</v>
      </c>
      <c r="B34" s="34"/>
      <c r="C34" s="34"/>
      <c r="D34" s="2952" t="s">
        <v>3068</v>
      </c>
      <c r="E34" s="16">
        <f t="shared" si="7"/>
        <v>1.64</v>
      </c>
      <c r="F34" s="36"/>
      <c r="G34" s="37">
        <f t="shared" si="8"/>
        <v>14.61</v>
      </c>
      <c r="H34" s="38">
        <f t="shared" si="9"/>
        <v>14.61</v>
      </c>
      <c r="I34" s="2953">
        <v>14.61</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22</v>
      </c>
      <c r="AW34" s="1795">
        <f t="shared" si="12"/>
        <v>0</v>
      </c>
      <c r="AX34" s="1795">
        <f t="shared" si="13"/>
        <v>0</v>
      </c>
      <c r="AY34" s="42">
        <f t="shared" si="14"/>
        <v>1.64</v>
      </c>
      <c r="AZ34" s="35">
        <f t="shared" si="15"/>
        <v>14.61</v>
      </c>
      <c r="BA34" s="35">
        <f t="shared" si="16"/>
        <v>14.61</v>
      </c>
      <c r="BB34" s="35">
        <f t="shared" si="17"/>
        <v>14.61</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1272">
        <v>23</v>
      </c>
      <c r="B35" s="34"/>
      <c r="C35" s="34"/>
      <c r="D35" s="2952" t="s">
        <v>3068</v>
      </c>
      <c r="E35" s="16">
        <f t="shared" si="7"/>
        <v>1.64</v>
      </c>
      <c r="F35" s="36"/>
      <c r="G35" s="37">
        <f t="shared" si="8"/>
        <v>14.63</v>
      </c>
      <c r="H35" s="38">
        <f t="shared" si="9"/>
        <v>14.63</v>
      </c>
      <c r="I35" s="2953">
        <v>14.63</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23</v>
      </c>
      <c r="AW35" s="1795">
        <f t="shared" si="12"/>
        <v>0</v>
      </c>
      <c r="AX35" s="1795">
        <f t="shared" si="13"/>
        <v>0</v>
      </c>
      <c r="AY35" s="42">
        <f t="shared" si="14"/>
        <v>1.64</v>
      </c>
      <c r="AZ35" s="35">
        <f t="shared" si="15"/>
        <v>14.63</v>
      </c>
      <c r="BA35" s="35">
        <f t="shared" si="16"/>
        <v>14.63</v>
      </c>
      <c r="BB35" s="35">
        <f t="shared" si="17"/>
        <v>14.63</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1272">
        <v>24</v>
      </c>
      <c r="B36" s="34"/>
      <c r="C36" s="34"/>
      <c r="D36" s="2952" t="s">
        <v>3068</v>
      </c>
      <c r="E36" s="16">
        <f t="shared" si="7"/>
        <v>1.65</v>
      </c>
      <c r="F36" s="36"/>
      <c r="G36" s="37">
        <f t="shared" si="8"/>
        <v>14.72</v>
      </c>
      <c r="H36" s="38">
        <f t="shared" si="9"/>
        <v>14.72</v>
      </c>
      <c r="I36" s="2953">
        <v>14.72</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24</v>
      </c>
      <c r="AW36" s="1795">
        <f t="shared" si="12"/>
        <v>0</v>
      </c>
      <c r="AX36" s="1795">
        <f t="shared" si="13"/>
        <v>0</v>
      </c>
      <c r="AY36" s="42">
        <f t="shared" si="14"/>
        <v>1.65</v>
      </c>
      <c r="AZ36" s="35">
        <f t="shared" si="15"/>
        <v>14.72</v>
      </c>
      <c r="BA36" s="35">
        <f t="shared" si="16"/>
        <v>14.72</v>
      </c>
      <c r="BB36" s="35">
        <f t="shared" si="17"/>
        <v>14.72</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1272">
        <v>25</v>
      </c>
      <c r="B37" s="34"/>
      <c r="C37" s="34"/>
      <c r="D37" s="2952" t="s">
        <v>3068</v>
      </c>
      <c r="E37" s="16">
        <f t="shared" si="7"/>
        <v>1.61</v>
      </c>
      <c r="F37" s="36"/>
      <c r="G37" s="37">
        <f t="shared" si="8"/>
        <v>14.37</v>
      </c>
      <c r="H37" s="38">
        <f t="shared" si="9"/>
        <v>14.37</v>
      </c>
      <c r="I37" s="2953">
        <v>14.37</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25</v>
      </c>
      <c r="AW37" s="1795">
        <f t="shared" si="12"/>
        <v>0</v>
      </c>
      <c r="AX37" s="1795">
        <f t="shared" si="13"/>
        <v>0</v>
      </c>
      <c r="AY37" s="42">
        <f t="shared" si="14"/>
        <v>1.61</v>
      </c>
      <c r="AZ37" s="35">
        <f t="shared" si="15"/>
        <v>14.37</v>
      </c>
      <c r="BA37" s="35">
        <f t="shared" si="16"/>
        <v>14.37</v>
      </c>
      <c r="BB37" s="35">
        <f t="shared" si="17"/>
        <v>14.37</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1272">
        <v>26</v>
      </c>
      <c r="B38" s="34"/>
      <c r="C38" s="34"/>
      <c r="D38" s="2952" t="s">
        <v>3068</v>
      </c>
      <c r="E38" s="16">
        <f t="shared" si="7"/>
        <v>1.35</v>
      </c>
      <c r="F38" s="36"/>
      <c r="G38" s="37">
        <f t="shared" si="8"/>
        <v>12.06</v>
      </c>
      <c r="H38" s="38">
        <f t="shared" si="9"/>
        <v>12.06</v>
      </c>
      <c r="I38" s="2953">
        <v>12.06</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26</v>
      </c>
      <c r="AW38" s="1795">
        <f t="shared" si="12"/>
        <v>0</v>
      </c>
      <c r="AX38" s="1795">
        <f t="shared" si="13"/>
        <v>0</v>
      </c>
      <c r="AY38" s="42">
        <f t="shared" si="14"/>
        <v>1.35</v>
      </c>
      <c r="AZ38" s="35">
        <f t="shared" si="15"/>
        <v>12.06</v>
      </c>
      <c r="BA38" s="35">
        <f t="shared" si="16"/>
        <v>12.06</v>
      </c>
      <c r="BB38" s="35">
        <f t="shared" si="17"/>
        <v>12.06</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1272">
        <v>27</v>
      </c>
      <c r="B39" s="34"/>
      <c r="C39" s="34"/>
      <c r="D39" s="2952" t="s">
        <v>3068</v>
      </c>
      <c r="E39" s="16">
        <f t="shared" si="7"/>
        <v>1.61</v>
      </c>
      <c r="F39" s="36"/>
      <c r="G39" s="37">
        <f t="shared" si="8"/>
        <v>14.39</v>
      </c>
      <c r="H39" s="38">
        <f t="shared" si="9"/>
        <v>14.39</v>
      </c>
      <c r="I39" s="2954">
        <v>14.39</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27</v>
      </c>
      <c r="AW39" s="1795">
        <f t="shared" si="12"/>
        <v>0</v>
      </c>
      <c r="AX39" s="1795">
        <f t="shared" si="13"/>
        <v>0</v>
      </c>
      <c r="AY39" s="42">
        <f t="shared" si="14"/>
        <v>1.61</v>
      </c>
      <c r="AZ39" s="35">
        <f t="shared" si="15"/>
        <v>14.39</v>
      </c>
      <c r="BA39" s="35">
        <f t="shared" si="16"/>
        <v>14.39</v>
      </c>
      <c r="BB39" s="35">
        <f t="shared" si="17"/>
        <v>14.39</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1272">
        <v>28</v>
      </c>
      <c r="B40" s="34"/>
      <c r="C40" s="34"/>
      <c r="D40" s="2952" t="s">
        <v>3068</v>
      </c>
      <c r="E40" s="16">
        <f t="shared" si="7"/>
        <v>1.68</v>
      </c>
      <c r="F40" s="36"/>
      <c r="G40" s="37">
        <f t="shared" si="8"/>
        <v>14.99</v>
      </c>
      <c r="H40" s="38">
        <f t="shared" si="9"/>
        <v>14.99</v>
      </c>
      <c r="I40" s="2954">
        <v>14.99</v>
      </c>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28</v>
      </c>
      <c r="AW40" s="1795">
        <f t="shared" si="12"/>
        <v>0</v>
      </c>
      <c r="AX40" s="1795">
        <f t="shared" si="13"/>
        <v>0</v>
      </c>
      <c r="AY40" s="42">
        <f t="shared" si="14"/>
        <v>1.68</v>
      </c>
      <c r="AZ40" s="35">
        <f t="shared" si="15"/>
        <v>14.99</v>
      </c>
      <c r="BA40" s="35">
        <f t="shared" si="16"/>
        <v>14.99</v>
      </c>
      <c r="BB40" s="35">
        <f t="shared" si="17"/>
        <v>14.99</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1272">
        <v>29</v>
      </c>
      <c r="B41" s="34"/>
      <c r="C41" s="34"/>
      <c r="D41" s="2952" t="s">
        <v>3068</v>
      </c>
      <c r="E41" s="16">
        <f t="shared" si="7"/>
        <v>1.65</v>
      </c>
      <c r="F41" s="36"/>
      <c r="G41" s="37">
        <f t="shared" si="8"/>
        <v>14.68</v>
      </c>
      <c r="H41" s="38">
        <f t="shared" si="9"/>
        <v>14.68</v>
      </c>
      <c r="I41" s="2954">
        <v>14.68</v>
      </c>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29</v>
      </c>
      <c r="AW41" s="1795">
        <f t="shared" si="12"/>
        <v>0</v>
      </c>
      <c r="AX41" s="1795">
        <f t="shared" si="13"/>
        <v>0</v>
      </c>
      <c r="AY41" s="42">
        <f t="shared" si="14"/>
        <v>1.65</v>
      </c>
      <c r="AZ41" s="35">
        <f t="shared" si="15"/>
        <v>14.68</v>
      </c>
      <c r="BA41" s="35">
        <f t="shared" si="16"/>
        <v>14.68</v>
      </c>
      <c r="BB41" s="35">
        <f t="shared" si="17"/>
        <v>14.68</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1272">
        <v>30</v>
      </c>
      <c r="B42" s="34"/>
      <c r="C42" s="34"/>
      <c r="D42" s="2952" t="s">
        <v>3068</v>
      </c>
      <c r="E42" s="16">
        <f t="shared" si="7"/>
        <v>1.63</v>
      </c>
      <c r="F42" s="36"/>
      <c r="G42" s="37">
        <f t="shared" si="8"/>
        <v>14.57</v>
      </c>
      <c r="H42" s="38">
        <f t="shared" si="9"/>
        <v>14.57</v>
      </c>
      <c r="I42" s="2954">
        <v>14.57</v>
      </c>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30</v>
      </c>
      <c r="AW42" s="1795">
        <f t="shared" si="12"/>
        <v>0</v>
      </c>
      <c r="AX42" s="1795">
        <f t="shared" si="13"/>
        <v>0</v>
      </c>
      <c r="AY42" s="42">
        <f t="shared" si="14"/>
        <v>1.63</v>
      </c>
      <c r="AZ42" s="35">
        <f t="shared" si="15"/>
        <v>14.57</v>
      </c>
      <c r="BA42" s="35">
        <f t="shared" si="16"/>
        <v>14.57</v>
      </c>
      <c r="BB42" s="35">
        <f t="shared" si="17"/>
        <v>14.57</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1272">
        <v>31</v>
      </c>
      <c r="B43" s="34"/>
      <c r="C43" s="34"/>
      <c r="D43" s="2952" t="s">
        <v>3068</v>
      </c>
      <c r="E43" s="16">
        <f t="shared" si="7"/>
        <v>1.67</v>
      </c>
      <c r="F43" s="36"/>
      <c r="G43" s="37">
        <f t="shared" si="8"/>
        <v>14.94</v>
      </c>
      <c r="H43" s="38">
        <f t="shared" si="9"/>
        <v>14.94</v>
      </c>
      <c r="I43" s="2954">
        <v>14.94</v>
      </c>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31</v>
      </c>
      <c r="AW43" s="1795">
        <f t="shared" si="12"/>
        <v>0</v>
      </c>
      <c r="AX43" s="1795">
        <f t="shared" si="13"/>
        <v>0</v>
      </c>
      <c r="AY43" s="42">
        <f t="shared" si="14"/>
        <v>1.67</v>
      </c>
      <c r="AZ43" s="35">
        <f t="shared" si="15"/>
        <v>14.94</v>
      </c>
      <c r="BA43" s="35">
        <f t="shared" si="16"/>
        <v>14.94</v>
      </c>
      <c r="BB43" s="35">
        <f t="shared" si="17"/>
        <v>14.94</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1272">
        <v>32</v>
      </c>
      <c r="B44" s="34"/>
      <c r="C44" s="34"/>
      <c r="D44" s="2952" t="s">
        <v>3068</v>
      </c>
      <c r="E44" s="16">
        <f t="shared" si="7"/>
        <v>1.37</v>
      </c>
      <c r="F44" s="36"/>
      <c r="G44" s="37">
        <f t="shared" si="8"/>
        <v>12.19</v>
      </c>
      <c r="H44" s="38">
        <f t="shared" si="9"/>
        <v>12.19</v>
      </c>
      <c r="I44" s="2954">
        <v>12.19</v>
      </c>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32</v>
      </c>
      <c r="AW44" s="1795">
        <f t="shared" si="12"/>
        <v>0</v>
      </c>
      <c r="AX44" s="1795">
        <f t="shared" si="13"/>
        <v>0</v>
      </c>
      <c r="AY44" s="42">
        <f t="shared" si="14"/>
        <v>1.37</v>
      </c>
      <c r="AZ44" s="35">
        <f t="shared" si="15"/>
        <v>12.19</v>
      </c>
      <c r="BA44" s="35">
        <f t="shared" si="16"/>
        <v>12.19</v>
      </c>
      <c r="BB44" s="35">
        <f t="shared" si="17"/>
        <v>12.19</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1272">
        <v>33</v>
      </c>
      <c r="B45" s="34"/>
      <c r="C45" s="34"/>
      <c r="D45" s="2952" t="s">
        <v>3068</v>
      </c>
      <c r="E45" s="16">
        <f t="shared" si="7"/>
        <v>1.62</v>
      </c>
      <c r="F45" s="36"/>
      <c r="G45" s="37">
        <f t="shared" si="8"/>
        <v>14.41</v>
      </c>
      <c r="H45" s="38">
        <f t="shared" si="9"/>
        <v>14.41</v>
      </c>
      <c r="I45" s="2954">
        <v>14.41</v>
      </c>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33</v>
      </c>
      <c r="AW45" s="1795">
        <f t="shared" si="12"/>
        <v>0</v>
      </c>
      <c r="AX45" s="1795">
        <f t="shared" si="13"/>
        <v>0</v>
      </c>
      <c r="AY45" s="42">
        <f t="shared" si="14"/>
        <v>1.62</v>
      </c>
      <c r="AZ45" s="35">
        <f t="shared" si="15"/>
        <v>14.41</v>
      </c>
      <c r="BA45" s="35">
        <f t="shared" si="16"/>
        <v>14.41</v>
      </c>
      <c r="BB45" s="35">
        <f t="shared" si="17"/>
        <v>14.41</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1272">
        <v>34</v>
      </c>
      <c r="B46" s="34"/>
      <c r="C46" s="34"/>
      <c r="D46" s="2952" t="s">
        <v>3068</v>
      </c>
      <c r="E46" s="16">
        <f t="shared" si="7"/>
        <v>1.57</v>
      </c>
      <c r="F46" s="36"/>
      <c r="G46" s="37">
        <f t="shared" si="8"/>
        <v>13.99</v>
      </c>
      <c r="H46" s="38">
        <f t="shared" si="9"/>
        <v>13.99</v>
      </c>
      <c r="I46" s="2954">
        <v>13.99</v>
      </c>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34</v>
      </c>
      <c r="AW46" s="1795">
        <f t="shared" si="12"/>
        <v>0</v>
      </c>
      <c r="AX46" s="1795">
        <f t="shared" si="13"/>
        <v>0</v>
      </c>
      <c r="AY46" s="42">
        <f t="shared" si="14"/>
        <v>1.57</v>
      </c>
      <c r="AZ46" s="35">
        <f t="shared" si="15"/>
        <v>13.99</v>
      </c>
      <c r="BA46" s="35">
        <f t="shared" si="16"/>
        <v>13.99</v>
      </c>
      <c r="BB46" s="35">
        <f t="shared" si="17"/>
        <v>13.99</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1272">
        <v>35</v>
      </c>
      <c r="B47" s="34"/>
      <c r="C47" s="34"/>
      <c r="D47" s="2952" t="s">
        <v>3068</v>
      </c>
      <c r="E47" s="16">
        <f t="shared" si="7"/>
        <v>1.59</v>
      </c>
      <c r="F47" s="36"/>
      <c r="G47" s="37">
        <f t="shared" si="8"/>
        <v>14.21</v>
      </c>
      <c r="H47" s="38">
        <f t="shared" si="9"/>
        <v>14.21</v>
      </c>
      <c r="I47" s="2954">
        <v>14.21</v>
      </c>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35</v>
      </c>
      <c r="AW47" s="1795">
        <f t="shared" si="12"/>
        <v>0</v>
      </c>
      <c r="AX47" s="1795">
        <f t="shared" si="13"/>
        <v>0</v>
      </c>
      <c r="AY47" s="42">
        <f t="shared" si="14"/>
        <v>1.59</v>
      </c>
      <c r="AZ47" s="35">
        <f t="shared" si="15"/>
        <v>14.21</v>
      </c>
      <c r="BA47" s="35">
        <f t="shared" si="16"/>
        <v>14.21</v>
      </c>
      <c r="BB47" s="35">
        <f t="shared" si="17"/>
        <v>14.21</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1272">
        <v>36</v>
      </c>
      <c r="B48" s="34"/>
      <c r="C48" s="34"/>
      <c r="D48" s="2952" t="s">
        <v>3068</v>
      </c>
      <c r="E48" s="16">
        <f t="shared" si="7"/>
        <v>1.6</v>
      </c>
      <c r="F48" s="36"/>
      <c r="G48" s="37">
        <f t="shared" si="8"/>
        <v>14.3</v>
      </c>
      <c r="H48" s="38">
        <f t="shared" si="9"/>
        <v>14.3</v>
      </c>
      <c r="I48" s="2954">
        <v>14.3</v>
      </c>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36</v>
      </c>
      <c r="AW48" s="1795">
        <f t="shared" si="12"/>
        <v>0</v>
      </c>
      <c r="AX48" s="1795">
        <f t="shared" si="13"/>
        <v>0</v>
      </c>
      <c r="AY48" s="42">
        <f t="shared" si="14"/>
        <v>1.6</v>
      </c>
      <c r="AZ48" s="35">
        <f t="shared" si="15"/>
        <v>14.3</v>
      </c>
      <c r="BA48" s="35">
        <f t="shared" si="16"/>
        <v>14.3</v>
      </c>
      <c r="BB48" s="35">
        <f t="shared" si="17"/>
        <v>14.3</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1272">
        <v>37</v>
      </c>
      <c r="B49" s="34"/>
      <c r="C49" s="34"/>
      <c r="D49" s="2952" t="s">
        <v>3068</v>
      </c>
      <c r="E49" s="16">
        <f t="shared" si="7"/>
        <v>1.92</v>
      </c>
      <c r="F49" s="36"/>
      <c r="G49" s="37">
        <f t="shared" si="8"/>
        <v>17.100000000000001</v>
      </c>
      <c r="H49" s="38">
        <f t="shared" si="9"/>
        <v>17.100000000000001</v>
      </c>
      <c r="I49" s="2954">
        <v>17.100000000000001</v>
      </c>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37</v>
      </c>
      <c r="AW49" s="1795">
        <f t="shared" si="12"/>
        <v>0</v>
      </c>
      <c r="AX49" s="1795">
        <f t="shared" si="13"/>
        <v>0</v>
      </c>
      <c r="AY49" s="42">
        <f t="shared" si="14"/>
        <v>1.92</v>
      </c>
      <c r="AZ49" s="35">
        <f t="shared" si="15"/>
        <v>17.100000000000001</v>
      </c>
      <c r="BA49" s="35">
        <f t="shared" si="16"/>
        <v>17.100000000000001</v>
      </c>
      <c r="BB49" s="35">
        <f t="shared" si="17"/>
        <v>17.100000000000001</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1272">
        <v>38</v>
      </c>
      <c r="B50" s="34"/>
      <c r="C50" s="34"/>
      <c r="D50" s="2952" t="s">
        <v>3068</v>
      </c>
      <c r="E50" s="16">
        <f t="shared" si="7"/>
        <v>3.69</v>
      </c>
      <c r="F50" s="36"/>
      <c r="G50" s="37">
        <f t="shared" si="8"/>
        <v>32.93</v>
      </c>
      <c r="H50" s="38">
        <f t="shared" si="9"/>
        <v>32.93</v>
      </c>
      <c r="I50" s="2954">
        <v>32.93</v>
      </c>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38</v>
      </c>
      <c r="AW50" s="1795">
        <f t="shared" si="12"/>
        <v>0</v>
      </c>
      <c r="AX50" s="1795">
        <f t="shared" si="13"/>
        <v>0</v>
      </c>
      <c r="AY50" s="42">
        <f t="shared" si="14"/>
        <v>3.69</v>
      </c>
      <c r="AZ50" s="35">
        <f t="shared" si="15"/>
        <v>32.93</v>
      </c>
      <c r="BA50" s="35">
        <f t="shared" si="16"/>
        <v>32.93</v>
      </c>
      <c r="BB50" s="35">
        <f t="shared" si="17"/>
        <v>32.93</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1272">
        <v>39</v>
      </c>
      <c r="B51" s="34"/>
      <c r="C51" s="34"/>
      <c r="D51" s="2952" t="s">
        <v>3068</v>
      </c>
      <c r="E51" s="16">
        <f t="shared" si="7"/>
        <v>2.29</v>
      </c>
      <c r="F51" s="36"/>
      <c r="G51" s="37">
        <f t="shared" si="8"/>
        <v>20.45</v>
      </c>
      <c r="H51" s="38">
        <f t="shared" si="9"/>
        <v>20.45</v>
      </c>
      <c r="I51" s="2954">
        <v>20.45</v>
      </c>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39</v>
      </c>
      <c r="AW51" s="1795">
        <f t="shared" si="12"/>
        <v>0</v>
      </c>
      <c r="AX51" s="1795">
        <f t="shared" si="13"/>
        <v>0</v>
      </c>
      <c r="AY51" s="42">
        <f t="shared" si="14"/>
        <v>2.29</v>
      </c>
      <c r="AZ51" s="35">
        <f t="shared" si="15"/>
        <v>20.45</v>
      </c>
      <c r="BA51" s="35">
        <f t="shared" si="16"/>
        <v>20.45</v>
      </c>
      <c r="BB51" s="35">
        <f t="shared" si="17"/>
        <v>20.45</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1272">
        <v>40</v>
      </c>
      <c r="B52" s="34"/>
      <c r="C52" s="34"/>
      <c r="D52" s="2952" t="s">
        <v>3068</v>
      </c>
      <c r="E52" s="16">
        <f t="shared" si="7"/>
        <v>2.39</v>
      </c>
      <c r="F52" s="36"/>
      <c r="G52" s="37">
        <f t="shared" si="8"/>
        <v>21.3</v>
      </c>
      <c r="H52" s="38">
        <f t="shared" si="9"/>
        <v>21.3</v>
      </c>
      <c r="I52" s="2954">
        <v>21.3</v>
      </c>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40</v>
      </c>
      <c r="AW52" s="1795">
        <f t="shared" si="12"/>
        <v>0</v>
      </c>
      <c r="AX52" s="1795">
        <f t="shared" si="13"/>
        <v>0</v>
      </c>
      <c r="AY52" s="42">
        <f t="shared" si="14"/>
        <v>2.39</v>
      </c>
      <c r="AZ52" s="35">
        <f t="shared" si="15"/>
        <v>21.3</v>
      </c>
      <c r="BA52" s="35">
        <f t="shared" si="16"/>
        <v>21.3</v>
      </c>
      <c r="BB52" s="35">
        <f t="shared" si="17"/>
        <v>21.3</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1272">
        <v>41</v>
      </c>
      <c r="B53" s="34"/>
      <c r="C53" s="34"/>
      <c r="D53" s="2952" t="s">
        <v>3068</v>
      </c>
      <c r="E53" s="16">
        <f t="shared" si="7"/>
        <v>1.53</v>
      </c>
      <c r="F53" s="36"/>
      <c r="G53" s="37">
        <f t="shared" si="8"/>
        <v>13.66</v>
      </c>
      <c r="H53" s="38">
        <f t="shared" si="9"/>
        <v>13.66</v>
      </c>
      <c r="I53" s="2954">
        <v>13.66</v>
      </c>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41</v>
      </c>
      <c r="AW53" s="1795">
        <f t="shared" si="12"/>
        <v>0</v>
      </c>
      <c r="AX53" s="1795">
        <f t="shared" si="13"/>
        <v>0</v>
      </c>
      <c r="AY53" s="42">
        <f t="shared" si="14"/>
        <v>1.53</v>
      </c>
      <c r="AZ53" s="35">
        <f t="shared" si="15"/>
        <v>13.66</v>
      </c>
      <c r="BA53" s="35">
        <f t="shared" si="16"/>
        <v>13.66</v>
      </c>
      <c r="BB53" s="35">
        <f t="shared" si="17"/>
        <v>13.66</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1272">
        <v>42</v>
      </c>
      <c r="B54" s="34"/>
      <c r="C54" s="34"/>
      <c r="D54" s="2952" t="s">
        <v>3068</v>
      </c>
      <c r="E54" s="16">
        <f t="shared" si="7"/>
        <v>1.64</v>
      </c>
      <c r="F54" s="36"/>
      <c r="G54" s="37">
        <f t="shared" si="8"/>
        <v>14.59</v>
      </c>
      <c r="H54" s="38">
        <f t="shared" si="9"/>
        <v>14.59</v>
      </c>
      <c r="I54" s="2954">
        <v>14.59</v>
      </c>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42</v>
      </c>
      <c r="AW54" s="1795">
        <f t="shared" si="12"/>
        <v>0</v>
      </c>
      <c r="AX54" s="1795">
        <f t="shared" si="13"/>
        <v>0</v>
      </c>
      <c r="AY54" s="42">
        <f t="shared" si="14"/>
        <v>1.64</v>
      </c>
      <c r="AZ54" s="35">
        <f t="shared" si="15"/>
        <v>14.59</v>
      </c>
      <c r="BA54" s="35">
        <f t="shared" si="16"/>
        <v>14.59</v>
      </c>
      <c r="BB54" s="35">
        <f t="shared" si="17"/>
        <v>14.59</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1272">
        <v>43</v>
      </c>
      <c r="B55" s="34"/>
      <c r="C55" s="34"/>
      <c r="D55" s="2952" t="s">
        <v>3068</v>
      </c>
      <c r="E55" s="16">
        <f t="shared" si="7"/>
        <v>5.89</v>
      </c>
      <c r="F55" s="36"/>
      <c r="G55" s="37">
        <f t="shared" si="8"/>
        <v>52.52</v>
      </c>
      <c r="H55" s="38">
        <f t="shared" si="9"/>
        <v>52.52</v>
      </c>
      <c r="I55" s="2954">
        <v>52.52</v>
      </c>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43</v>
      </c>
      <c r="AW55" s="1795">
        <f t="shared" si="12"/>
        <v>0</v>
      </c>
      <c r="AX55" s="1795">
        <f t="shared" si="13"/>
        <v>0</v>
      </c>
      <c r="AY55" s="42">
        <f t="shared" si="14"/>
        <v>5.89</v>
      </c>
      <c r="AZ55" s="35">
        <f t="shared" si="15"/>
        <v>52.52</v>
      </c>
      <c r="BA55" s="35">
        <f t="shared" si="16"/>
        <v>52.52</v>
      </c>
      <c r="BB55" s="35">
        <f t="shared" si="17"/>
        <v>52.52</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1272">
        <v>44</v>
      </c>
      <c r="B56" s="34"/>
      <c r="C56" s="34"/>
      <c r="D56" s="2952" t="s">
        <v>3068</v>
      </c>
      <c r="E56" s="16">
        <f t="shared" si="7"/>
        <v>5.98</v>
      </c>
      <c r="F56" s="36"/>
      <c r="G56" s="37">
        <f t="shared" si="8"/>
        <v>53.32</v>
      </c>
      <c r="H56" s="38">
        <f t="shared" si="9"/>
        <v>53.32</v>
      </c>
      <c r="I56" s="2954">
        <v>53.32</v>
      </c>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44</v>
      </c>
      <c r="AW56" s="1795">
        <f t="shared" si="12"/>
        <v>0</v>
      </c>
      <c r="AX56" s="1795">
        <f t="shared" si="13"/>
        <v>0</v>
      </c>
      <c r="AY56" s="42">
        <f t="shared" si="14"/>
        <v>5.98</v>
      </c>
      <c r="AZ56" s="35">
        <f t="shared" si="15"/>
        <v>53.32</v>
      </c>
      <c r="BA56" s="35">
        <f t="shared" si="16"/>
        <v>53.32</v>
      </c>
      <c r="BB56" s="35">
        <f t="shared" si="17"/>
        <v>53.32</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1272">
        <v>45</v>
      </c>
      <c r="B57" s="34"/>
      <c r="C57" s="34"/>
      <c r="D57" s="2952" t="s">
        <v>3068</v>
      </c>
      <c r="E57" s="16">
        <f t="shared" si="7"/>
        <v>5.25</v>
      </c>
      <c r="F57" s="36"/>
      <c r="G57" s="37">
        <f t="shared" si="8"/>
        <v>46.81</v>
      </c>
      <c r="H57" s="38">
        <f t="shared" si="9"/>
        <v>46.81</v>
      </c>
      <c r="I57" s="2954">
        <v>46.81</v>
      </c>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45</v>
      </c>
      <c r="AW57" s="1795">
        <f t="shared" si="12"/>
        <v>0</v>
      </c>
      <c r="AX57" s="1795">
        <f t="shared" si="13"/>
        <v>0</v>
      </c>
      <c r="AY57" s="42">
        <f t="shared" si="14"/>
        <v>5.25</v>
      </c>
      <c r="AZ57" s="35">
        <f t="shared" si="15"/>
        <v>46.81</v>
      </c>
      <c r="BA57" s="35">
        <f t="shared" si="16"/>
        <v>46.81</v>
      </c>
      <c r="BB57" s="35">
        <f t="shared" si="17"/>
        <v>46.81</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1272">
        <v>46</v>
      </c>
      <c r="B58" s="34"/>
      <c r="C58" s="34"/>
      <c r="D58" s="2952" t="s">
        <v>3068</v>
      </c>
      <c r="E58" s="16">
        <f t="shared" si="7"/>
        <v>5.25</v>
      </c>
      <c r="F58" s="36"/>
      <c r="G58" s="37">
        <f t="shared" si="8"/>
        <v>46.81</v>
      </c>
      <c r="H58" s="38">
        <f t="shared" si="9"/>
        <v>46.81</v>
      </c>
      <c r="I58" s="2954">
        <v>46.81</v>
      </c>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46</v>
      </c>
      <c r="AW58" s="1795">
        <f t="shared" si="12"/>
        <v>0</v>
      </c>
      <c r="AX58" s="1795">
        <f t="shared" si="13"/>
        <v>0</v>
      </c>
      <c r="AY58" s="42">
        <f t="shared" si="14"/>
        <v>5.25</v>
      </c>
      <c r="AZ58" s="35">
        <f t="shared" si="15"/>
        <v>46.81</v>
      </c>
      <c r="BA58" s="35">
        <f t="shared" si="16"/>
        <v>46.81</v>
      </c>
      <c r="BB58" s="35">
        <f t="shared" si="17"/>
        <v>46.81</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1272">
        <v>47</v>
      </c>
      <c r="B59" s="34"/>
      <c r="C59" s="34"/>
      <c r="D59" s="2952" t="s">
        <v>3068</v>
      </c>
      <c r="E59" s="16">
        <f t="shared" si="7"/>
        <v>5.25</v>
      </c>
      <c r="F59" s="36"/>
      <c r="G59" s="37">
        <f t="shared" si="8"/>
        <v>46.81</v>
      </c>
      <c r="H59" s="38">
        <f t="shared" si="9"/>
        <v>46.81</v>
      </c>
      <c r="I59" s="2954">
        <v>46.81</v>
      </c>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47</v>
      </c>
      <c r="AW59" s="1795">
        <f t="shared" si="12"/>
        <v>0</v>
      </c>
      <c r="AX59" s="1795">
        <f t="shared" si="13"/>
        <v>0</v>
      </c>
      <c r="AY59" s="42">
        <f t="shared" si="14"/>
        <v>5.25</v>
      </c>
      <c r="AZ59" s="35">
        <f t="shared" si="15"/>
        <v>46.81</v>
      </c>
      <c r="BA59" s="35">
        <f t="shared" si="16"/>
        <v>46.81</v>
      </c>
      <c r="BB59" s="35">
        <f t="shared" si="17"/>
        <v>46.81</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1272">
        <v>48</v>
      </c>
      <c r="B60" s="34"/>
      <c r="C60" s="34"/>
      <c r="D60" s="2952" t="s">
        <v>3068</v>
      </c>
      <c r="E60" s="16">
        <f t="shared" si="7"/>
        <v>1.1399999999999999</v>
      </c>
      <c r="F60" s="36"/>
      <c r="G60" s="37">
        <f t="shared" si="8"/>
        <v>10.210000000000001</v>
      </c>
      <c r="H60" s="38">
        <f t="shared" si="9"/>
        <v>10.210000000000001</v>
      </c>
      <c r="I60" s="2954">
        <v>10.210000000000001</v>
      </c>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48</v>
      </c>
      <c r="AW60" s="1795">
        <f t="shared" si="12"/>
        <v>0</v>
      </c>
      <c r="AX60" s="1795">
        <f t="shared" si="13"/>
        <v>0</v>
      </c>
      <c r="AY60" s="42">
        <f t="shared" si="14"/>
        <v>1.1399999999999999</v>
      </c>
      <c r="AZ60" s="35">
        <f t="shared" si="15"/>
        <v>10.210000000000001</v>
      </c>
      <c r="BA60" s="35">
        <f t="shared" si="16"/>
        <v>10.210000000000001</v>
      </c>
      <c r="BB60" s="35">
        <f t="shared" si="17"/>
        <v>10.210000000000001</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1272">
        <v>49</v>
      </c>
      <c r="B61" s="34"/>
      <c r="C61" s="34"/>
      <c r="D61" s="2952" t="s">
        <v>3068</v>
      </c>
      <c r="E61" s="16">
        <f t="shared" si="7"/>
        <v>1.05</v>
      </c>
      <c r="F61" s="36"/>
      <c r="G61" s="37">
        <f t="shared" si="8"/>
        <v>9.33</v>
      </c>
      <c r="H61" s="38">
        <f t="shared" si="9"/>
        <v>9.33</v>
      </c>
      <c r="I61" s="2954">
        <v>9.33</v>
      </c>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49</v>
      </c>
      <c r="AW61" s="1795">
        <f t="shared" si="12"/>
        <v>0</v>
      </c>
      <c r="AX61" s="1795">
        <f t="shared" si="13"/>
        <v>0</v>
      </c>
      <c r="AY61" s="42">
        <f t="shared" si="14"/>
        <v>1.05</v>
      </c>
      <c r="AZ61" s="35">
        <f t="shared" si="15"/>
        <v>9.33</v>
      </c>
      <c r="BA61" s="35">
        <f t="shared" si="16"/>
        <v>9.33</v>
      </c>
      <c r="BB61" s="35">
        <f t="shared" si="17"/>
        <v>9.33</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1272">
        <v>50</v>
      </c>
      <c r="B62" s="34"/>
      <c r="C62" s="34"/>
      <c r="D62" s="2952" t="s">
        <v>3068</v>
      </c>
      <c r="E62" s="16">
        <f t="shared" si="7"/>
        <v>1.05</v>
      </c>
      <c r="F62" s="36"/>
      <c r="G62" s="37">
        <f t="shared" si="8"/>
        <v>9.33</v>
      </c>
      <c r="H62" s="38">
        <f t="shared" si="9"/>
        <v>9.33</v>
      </c>
      <c r="I62" s="2954">
        <v>9.33</v>
      </c>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50</v>
      </c>
      <c r="AW62" s="1795">
        <f t="shared" si="12"/>
        <v>0</v>
      </c>
      <c r="AX62" s="1795">
        <f t="shared" si="13"/>
        <v>0</v>
      </c>
      <c r="AY62" s="42">
        <f t="shared" si="14"/>
        <v>1.05</v>
      </c>
      <c r="AZ62" s="35">
        <f t="shared" si="15"/>
        <v>9.33</v>
      </c>
      <c r="BA62" s="35">
        <f t="shared" si="16"/>
        <v>9.33</v>
      </c>
      <c r="BB62" s="35">
        <f t="shared" si="17"/>
        <v>9.33</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1272">
        <v>51</v>
      </c>
      <c r="B63" s="34"/>
      <c r="C63" s="34"/>
      <c r="D63" s="2952" t="s">
        <v>3068</v>
      </c>
      <c r="E63" s="16">
        <f t="shared" si="7"/>
        <v>1.08</v>
      </c>
      <c r="F63" s="36"/>
      <c r="G63" s="37">
        <f t="shared" si="8"/>
        <v>9.59</v>
      </c>
      <c r="H63" s="38">
        <f t="shared" si="9"/>
        <v>9.59</v>
      </c>
      <c r="I63" s="2954">
        <v>9.59</v>
      </c>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51</v>
      </c>
      <c r="AW63" s="1795">
        <f t="shared" si="12"/>
        <v>0</v>
      </c>
      <c r="AX63" s="1795">
        <f t="shared" si="13"/>
        <v>0</v>
      </c>
      <c r="AY63" s="42">
        <f t="shared" si="14"/>
        <v>1.08</v>
      </c>
      <c r="AZ63" s="35">
        <f t="shared" si="15"/>
        <v>9.59</v>
      </c>
      <c r="BA63" s="35">
        <f t="shared" si="16"/>
        <v>9.59</v>
      </c>
      <c r="BB63" s="35">
        <f t="shared" si="17"/>
        <v>9.59</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1272">
        <v>52</v>
      </c>
      <c r="B64" s="34"/>
      <c r="C64" s="34"/>
      <c r="D64" s="2952" t="s">
        <v>3068</v>
      </c>
      <c r="E64" s="16">
        <f t="shared" si="7"/>
        <v>1.08</v>
      </c>
      <c r="F64" s="36"/>
      <c r="G64" s="37">
        <f t="shared" si="8"/>
        <v>9.59</v>
      </c>
      <c r="H64" s="38">
        <f t="shared" si="9"/>
        <v>9.59</v>
      </c>
      <c r="I64" s="2954">
        <v>9.59</v>
      </c>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52</v>
      </c>
      <c r="AW64" s="1795">
        <f t="shared" si="12"/>
        <v>0</v>
      </c>
      <c r="AX64" s="1795">
        <f t="shared" si="13"/>
        <v>0</v>
      </c>
      <c r="AY64" s="42">
        <f t="shared" si="14"/>
        <v>1.08</v>
      </c>
      <c r="AZ64" s="35">
        <f t="shared" si="15"/>
        <v>9.59</v>
      </c>
      <c r="BA64" s="35">
        <f t="shared" si="16"/>
        <v>9.59</v>
      </c>
      <c r="BB64" s="35">
        <f t="shared" si="17"/>
        <v>9.59</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1272">
        <v>53</v>
      </c>
      <c r="B65" s="34"/>
      <c r="C65" s="34"/>
      <c r="D65" s="2952" t="s">
        <v>3068</v>
      </c>
      <c r="E65" s="16">
        <f t="shared" si="7"/>
        <v>1.5</v>
      </c>
      <c r="F65" s="36"/>
      <c r="G65" s="37">
        <f t="shared" si="8"/>
        <v>13.37</v>
      </c>
      <c r="H65" s="38">
        <f t="shared" si="9"/>
        <v>13.37</v>
      </c>
      <c r="I65" s="2955">
        <v>13.37</v>
      </c>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53</v>
      </c>
      <c r="AW65" s="1795">
        <f t="shared" si="12"/>
        <v>0</v>
      </c>
      <c r="AX65" s="1795">
        <f t="shared" si="13"/>
        <v>0</v>
      </c>
      <c r="AY65" s="42">
        <f t="shared" si="14"/>
        <v>1.5</v>
      </c>
      <c r="AZ65" s="35">
        <f t="shared" si="15"/>
        <v>13.37</v>
      </c>
      <c r="BA65" s="35">
        <f t="shared" si="16"/>
        <v>13.37</v>
      </c>
      <c r="BB65" s="35">
        <f t="shared" si="17"/>
        <v>13.37</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1272">
        <v>54</v>
      </c>
      <c r="B66" s="34"/>
      <c r="C66" s="34"/>
      <c r="D66" s="2952" t="s">
        <v>3068</v>
      </c>
      <c r="E66" s="16">
        <f t="shared" si="7"/>
        <v>1.0900000000000001</v>
      </c>
      <c r="F66" s="36"/>
      <c r="G66" s="37">
        <f t="shared" si="8"/>
        <v>9.73</v>
      </c>
      <c r="H66" s="38">
        <f t="shared" si="9"/>
        <v>9.73</v>
      </c>
      <c r="I66" s="2955">
        <v>9.73</v>
      </c>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54</v>
      </c>
      <c r="AW66" s="1795">
        <f t="shared" si="12"/>
        <v>0</v>
      </c>
      <c r="AX66" s="1795">
        <f t="shared" si="13"/>
        <v>0</v>
      </c>
      <c r="AY66" s="42">
        <f t="shared" si="14"/>
        <v>1.0900000000000001</v>
      </c>
      <c r="AZ66" s="35">
        <f t="shared" si="15"/>
        <v>9.73</v>
      </c>
      <c r="BA66" s="35">
        <f t="shared" si="16"/>
        <v>9.73</v>
      </c>
      <c r="BB66" s="35">
        <f t="shared" si="17"/>
        <v>9.73</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1272">
        <v>55</v>
      </c>
      <c r="B67" s="34"/>
      <c r="C67" s="34"/>
      <c r="D67" s="2952" t="s">
        <v>3068</v>
      </c>
      <c r="E67" s="16">
        <f t="shared" si="7"/>
        <v>1.1000000000000001</v>
      </c>
      <c r="F67" s="36"/>
      <c r="G67" s="37">
        <f t="shared" si="8"/>
        <v>9.82</v>
      </c>
      <c r="H67" s="38">
        <f t="shared" si="9"/>
        <v>9.82</v>
      </c>
      <c r="I67" s="2955">
        <v>9.82</v>
      </c>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55</v>
      </c>
      <c r="AW67" s="1795">
        <f t="shared" si="12"/>
        <v>0</v>
      </c>
      <c r="AX67" s="1795">
        <f t="shared" si="13"/>
        <v>0</v>
      </c>
      <c r="AY67" s="42">
        <f t="shared" si="14"/>
        <v>1.1000000000000001</v>
      </c>
      <c r="AZ67" s="35">
        <f t="shared" si="15"/>
        <v>9.82</v>
      </c>
      <c r="BA67" s="35">
        <f t="shared" si="16"/>
        <v>9.82</v>
      </c>
      <c r="BB67" s="35">
        <f t="shared" si="17"/>
        <v>9.82</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1272">
        <v>56</v>
      </c>
      <c r="B68" s="34"/>
      <c r="C68" s="34"/>
      <c r="D68" s="2952" t="s">
        <v>3068</v>
      </c>
      <c r="E68" s="16">
        <f t="shared" si="7"/>
        <v>1.1200000000000001</v>
      </c>
      <c r="F68" s="36"/>
      <c r="G68" s="37">
        <f t="shared" si="8"/>
        <v>9.99</v>
      </c>
      <c r="H68" s="38">
        <f t="shared" si="9"/>
        <v>9.99</v>
      </c>
      <c r="I68" s="2955">
        <v>9.99</v>
      </c>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56</v>
      </c>
      <c r="AW68" s="1795">
        <f t="shared" si="12"/>
        <v>0</v>
      </c>
      <c r="AX68" s="1795">
        <f t="shared" si="13"/>
        <v>0</v>
      </c>
      <c r="AY68" s="42">
        <f t="shared" si="14"/>
        <v>1.1200000000000001</v>
      </c>
      <c r="AZ68" s="35">
        <f t="shared" si="15"/>
        <v>9.99</v>
      </c>
      <c r="BA68" s="35">
        <f t="shared" si="16"/>
        <v>9.99</v>
      </c>
      <c r="BB68" s="35">
        <f t="shared" si="17"/>
        <v>9.99</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1272">
        <v>57</v>
      </c>
      <c r="B69" s="34"/>
      <c r="C69" s="34"/>
      <c r="D69" s="2952" t="s">
        <v>3068</v>
      </c>
      <c r="E69" s="16">
        <f t="shared" si="7"/>
        <v>1.1200000000000001</v>
      </c>
      <c r="F69" s="36"/>
      <c r="G69" s="37">
        <f t="shared" si="8"/>
        <v>9.99</v>
      </c>
      <c r="H69" s="38">
        <f t="shared" si="9"/>
        <v>9.99</v>
      </c>
      <c r="I69" s="2955">
        <v>9.99</v>
      </c>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57</v>
      </c>
      <c r="AW69" s="1795">
        <f t="shared" si="12"/>
        <v>0</v>
      </c>
      <c r="AX69" s="1795">
        <f t="shared" si="13"/>
        <v>0</v>
      </c>
      <c r="AY69" s="42">
        <f t="shared" si="14"/>
        <v>1.1200000000000001</v>
      </c>
      <c r="AZ69" s="35">
        <f t="shared" si="15"/>
        <v>9.99</v>
      </c>
      <c r="BA69" s="35">
        <f t="shared" si="16"/>
        <v>9.99</v>
      </c>
      <c r="BB69" s="35">
        <f t="shared" si="17"/>
        <v>9.99</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1272">
        <v>58</v>
      </c>
      <c r="B70" s="34"/>
      <c r="C70" s="34"/>
      <c r="D70" s="2952" t="s">
        <v>3068</v>
      </c>
      <c r="E70" s="16">
        <f t="shared" si="7"/>
        <v>1.1200000000000001</v>
      </c>
      <c r="F70" s="36"/>
      <c r="G70" s="37">
        <f t="shared" si="8"/>
        <v>9.99</v>
      </c>
      <c r="H70" s="38">
        <f t="shared" si="9"/>
        <v>9.99</v>
      </c>
      <c r="I70" s="2955">
        <v>9.99</v>
      </c>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58</v>
      </c>
      <c r="AW70" s="1795">
        <f t="shared" si="12"/>
        <v>0</v>
      </c>
      <c r="AX70" s="1795">
        <f t="shared" si="13"/>
        <v>0</v>
      </c>
      <c r="AY70" s="42">
        <f t="shared" si="14"/>
        <v>1.1200000000000001</v>
      </c>
      <c r="AZ70" s="35">
        <f t="shared" si="15"/>
        <v>9.99</v>
      </c>
      <c r="BA70" s="35">
        <f t="shared" si="16"/>
        <v>9.99</v>
      </c>
      <c r="BB70" s="35">
        <f t="shared" si="17"/>
        <v>9.99</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1272">
        <v>59</v>
      </c>
      <c r="B71" s="34"/>
      <c r="C71" s="34"/>
      <c r="D71" s="2952" t="s">
        <v>3068</v>
      </c>
      <c r="E71" s="16">
        <f t="shared" si="7"/>
        <v>1.1100000000000001</v>
      </c>
      <c r="F71" s="36"/>
      <c r="G71" s="37">
        <f t="shared" si="8"/>
        <v>9.9</v>
      </c>
      <c r="H71" s="38">
        <f t="shared" si="9"/>
        <v>9.9</v>
      </c>
      <c r="I71" s="2955">
        <v>9.9</v>
      </c>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59</v>
      </c>
      <c r="AW71" s="1795">
        <f t="shared" si="12"/>
        <v>0</v>
      </c>
      <c r="AX71" s="1795">
        <f t="shared" si="13"/>
        <v>0</v>
      </c>
      <c r="AY71" s="42">
        <f t="shared" si="14"/>
        <v>1.1100000000000001</v>
      </c>
      <c r="AZ71" s="35">
        <f t="shared" si="15"/>
        <v>9.9</v>
      </c>
      <c r="BA71" s="35">
        <f t="shared" si="16"/>
        <v>9.9</v>
      </c>
      <c r="BB71" s="35">
        <f t="shared" si="17"/>
        <v>9.9</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1272">
        <v>60</v>
      </c>
      <c r="B72" s="34"/>
      <c r="C72" s="34"/>
      <c r="D72" s="2952" t="s">
        <v>3068</v>
      </c>
      <c r="E72" s="16">
        <f t="shared" si="7"/>
        <v>1.1499999999999999</v>
      </c>
      <c r="F72" s="36"/>
      <c r="G72" s="37">
        <f t="shared" si="8"/>
        <v>10.28</v>
      </c>
      <c r="H72" s="38">
        <f t="shared" si="9"/>
        <v>10.28</v>
      </c>
      <c r="I72" s="2955">
        <v>10.28</v>
      </c>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60</v>
      </c>
      <c r="AW72" s="1795">
        <f t="shared" si="12"/>
        <v>0</v>
      </c>
      <c r="AX72" s="1795">
        <f t="shared" si="13"/>
        <v>0</v>
      </c>
      <c r="AY72" s="42">
        <f t="shared" si="14"/>
        <v>1.1499999999999999</v>
      </c>
      <c r="AZ72" s="35">
        <f t="shared" si="15"/>
        <v>10.28</v>
      </c>
      <c r="BA72" s="35">
        <f t="shared" si="16"/>
        <v>10.28</v>
      </c>
      <c r="BB72" s="35">
        <f t="shared" si="17"/>
        <v>10.28</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1272">
        <v>61</v>
      </c>
      <c r="B73" s="34"/>
      <c r="C73" s="34"/>
      <c r="D73" s="2952" t="s">
        <v>3068</v>
      </c>
      <c r="E73" s="16">
        <f t="shared" si="7"/>
        <v>1.1000000000000001</v>
      </c>
      <c r="F73" s="36"/>
      <c r="G73" s="37">
        <f t="shared" si="8"/>
        <v>9.82</v>
      </c>
      <c r="H73" s="38">
        <f t="shared" si="9"/>
        <v>9.82</v>
      </c>
      <c r="I73" s="2955">
        <v>9.82</v>
      </c>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61</v>
      </c>
      <c r="AW73" s="1795">
        <f t="shared" si="12"/>
        <v>0</v>
      </c>
      <c r="AX73" s="1795">
        <f t="shared" si="13"/>
        <v>0</v>
      </c>
      <c r="AY73" s="42">
        <f t="shared" si="14"/>
        <v>1.1000000000000001</v>
      </c>
      <c r="AZ73" s="35">
        <f t="shared" si="15"/>
        <v>9.82</v>
      </c>
      <c r="BA73" s="35">
        <f t="shared" si="16"/>
        <v>9.82</v>
      </c>
      <c r="BB73" s="35">
        <f t="shared" si="17"/>
        <v>9.82</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1272">
        <v>62</v>
      </c>
      <c r="B74" s="34"/>
      <c r="C74" s="34"/>
      <c r="D74" s="2952" t="s">
        <v>3068</v>
      </c>
      <c r="E74" s="16">
        <f t="shared" si="7"/>
        <v>1.31</v>
      </c>
      <c r="F74" s="36"/>
      <c r="G74" s="37">
        <f t="shared" si="8"/>
        <v>11.7</v>
      </c>
      <c r="H74" s="38">
        <f t="shared" si="9"/>
        <v>11.7</v>
      </c>
      <c r="I74" s="2955">
        <v>11.7</v>
      </c>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62</v>
      </c>
      <c r="AW74" s="1795">
        <f t="shared" si="12"/>
        <v>0</v>
      </c>
      <c r="AX74" s="1795">
        <f t="shared" si="13"/>
        <v>0</v>
      </c>
      <c r="AY74" s="42">
        <f t="shared" si="14"/>
        <v>1.31</v>
      </c>
      <c r="AZ74" s="35">
        <f t="shared" si="15"/>
        <v>11.7</v>
      </c>
      <c r="BA74" s="35">
        <f t="shared" si="16"/>
        <v>11.7</v>
      </c>
      <c r="BB74" s="35">
        <f t="shared" si="17"/>
        <v>11.7</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1272">
        <v>63</v>
      </c>
      <c r="B75" s="34"/>
      <c r="C75" s="34"/>
      <c r="D75" s="2952" t="s">
        <v>3068</v>
      </c>
      <c r="E75" s="16">
        <f t="shared" si="7"/>
        <v>1.42</v>
      </c>
      <c r="F75" s="36"/>
      <c r="G75" s="37">
        <f t="shared" si="8"/>
        <v>12.66</v>
      </c>
      <c r="H75" s="38">
        <f t="shared" si="9"/>
        <v>12.66</v>
      </c>
      <c r="I75" s="2955">
        <v>12.66</v>
      </c>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63</v>
      </c>
      <c r="AW75" s="1795">
        <f t="shared" si="12"/>
        <v>0</v>
      </c>
      <c r="AX75" s="1795">
        <f t="shared" si="13"/>
        <v>0</v>
      </c>
      <c r="AY75" s="42">
        <f t="shared" si="14"/>
        <v>1.42</v>
      </c>
      <c r="AZ75" s="35">
        <f t="shared" si="15"/>
        <v>12.66</v>
      </c>
      <c r="BA75" s="35">
        <f t="shared" si="16"/>
        <v>12.66</v>
      </c>
      <c r="BB75" s="35">
        <f t="shared" si="17"/>
        <v>12.66</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1272">
        <v>64</v>
      </c>
      <c r="B76" s="34"/>
      <c r="C76" s="34"/>
      <c r="D76" s="2952" t="s">
        <v>3068</v>
      </c>
      <c r="E76" s="16">
        <f t="shared" si="7"/>
        <v>1.38</v>
      </c>
      <c r="F76" s="36"/>
      <c r="G76" s="37">
        <f t="shared" si="8"/>
        <v>12.35</v>
      </c>
      <c r="H76" s="38">
        <f t="shared" si="9"/>
        <v>12.35</v>
      </c>
      <c r="I76" s="2955">
        <v>12.35</v>
      </c>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64</v>
      </c>
      <c r="AW76" s="1795">
        <f t="shared" si="12"/>
        <v>0</v>
      </c>
      <c r="AX76" s="1795">
        <f t="shared" si="13"/>
        <v>0</v>
      </c>
      <c r="AY76" s="42">
        <f t="shared" si="14"/>
        <v>1.38</v>
      </c>
      <c r="AZ76" s="35">
        <f t="shared" si="15"/>
        <v>12.35</v>
      </c>
      <c r="BA76" s="35">
        <f t="shared" si="16"/>
        <v>12.35</v>
      </c>
      <c r="BB76" s="35">
        <f t="shared" si="17"/>
        <v>12.35</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1272">
        <v>65</v>
      </c>
      <c r="B77" s="34"/>
      <c r="C77" s="34"/>
      <c r="D77" s="2952" t="s">
        <v>3068</v>
      </c>
      <c r="E77" s="16">
        <f t="shared" si="7"/>
        <v>1.61</v>
      </c>
      <c r="F77" s="36"/>
      <c r="G77" s="37">
        <f t="shared" si="8"/>
        <v>14.35</v>
      </c>
      <c r="H77" s="38">
        <f t="shared" si="9"/>
        <v>14.35</v>
      </c>
      <c r="I77" s="2955">
        <v>14.35</v>
      </c>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65</v>
      </c>
      <c r="AW77" s="1795">
        <f t="shared" si="12"/>
        <v>0</v>
      </c>
      <c r="AX77" s="1795">
        <f t="shared" si="13"/>
        <v>0</v>
      </c>
      <c r="AY77" s="42">
        <f t="shared" si="14"/>
        <v>1.61</v>
      </c>
      <c r="AZ77" s="35">
        <f t="shared" si="15"/>
        <v>14.35</v>
      </c>
      <c r="BA77" s="35">
        <f t="shared" si="16"/>
        <v>14.35</v>
      </c>
      <c r="BB77" s="35">
        <f t="shared" si="17"/>
        <v>14.35</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1272">
        <v>66</v>
      </c>
      <c r="B78" s="34"/>
      <c r="C78" s="34"/>
      <c r="D78" s="2952" t="s">
        <v>3068</v>
      </c>
      <c r="E78" s="16">
        <f t="shared" si="7"/>
        <v>1.5</v>
      </c>
      <c r="F78" s="36"/>
      <c r="G78" s="37">
        <f t="shared" si="8"/>
        <v>13.39</v>
      </c>
      <c r="H78" s="38">
        <f t="shared" si="9"/>
        <v>13.39</v>
      </c>
      <c r="I78" s="2955">
        <v>13.39</v>
      </c>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66</v>
      </c>
      <c r="AW78" s="1795">
        <f t="shared" si="12"/>
        <v>0</v>
      </c>
      <c r="AX78" s="1795">
        <f t="shared" si="13"/>
        <v>0</v>
      </c>
      <c r="AY78" s="42">
        <f t="shared" si="14"/>
        <v>1.5</v>
      </c>
      <c r="AZ78" s="35">
        <f t="shared" si="15"/>
        <v>13.39</v>
      </c>
      <c r="BA78" s="35">
        <f t="shared" si="16"/>
        <v>13.39</v>
      </c>
      <c r="BB78" s="35">
        <f t="shared" si="17"/>
        <v>13.39</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1272">
        <v>67</v>
      </c>
      <c r="B79" s="34"/>
      <c r="C79" s="34"/>
      <c r="D79" s="2952" t="s">
        <v>3068</v>
      </c>
      <c r="E79" s="16">
        <f t="shared" si="7"/>
        <v>1.42</v>
      </c>
      <c r="F79" s="36"/>
      <c r="G79" s="37">
        <f t="shared" si="8"/>
        <v>12.7</v>
      </c>
      <c r="H79" s="38">
        <f t="shared" si="9"/>
        <v>12.7</v>
      </c>
      <c r="I79" s="2955">
        <v>12.7</v>
      </c>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67</v>
      </c>
      <c r="AW79" s="1795">
        <f t="shared" si="12"/>
        <v>0</v>
      </c>
      <c r="AX79" s="1795">
        <f t="shared" si="13"/>
        <v>0</v>
      </c>
      <c r="AY79" s="42">
        <f t="shared" si="14"/>
        <v>1.42</v>
      </c>
      <c r="AZ79" s="35">
        <f t="shared" si="15"/>
        <v>12.7</v>
      </c>
      <c r="BA79" s="35">
        <f t="shared" si="16"/>
        <v>12.7</v>
      </c>
      <c r="BB79" s="35">
        <f t="shared" si="17"/>
        <v>12.7</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1272">
        <v>68</v>
      </c>
      <c r="B80" s="34"/>
      <c r="C80" s="34"/>
      <c r="D80" s="2952" t="s">
        <v>3068</v>
      </c>
      <c r="E80" s="16">
        <f t="shared" si="7"/>
        <v>1.41</v>
      </c>
      <c r="F80" s="36"/>
      <c r="G80" s="37">
        <f t="shared" si="8"/>
        <v>12.61</v>
      </c>
      <c r="H80" s="38">
        <f t="shared" si="9"/>
        <v>12.61</v>
      </c>
      <c r="I80" s="2955">
        <v>12.61</v>
      </c>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68</v>
      </c>
      <c r="AW80" s="1795">
        <f t="shared" si="12"/>
        <v>0</v>
      </c>
      <c r="AX80" s="1795">
        <f t="shared" si="13"/>
        <v>0</v>
      </c>
      <c r="AY80" s="42">
        <f t="shared" si="14"/>
        <v>1.41</v>
      </c>
      <c r="AZ80" s="35">
        <f t="shared" si="15"/>
        <v>12.61</v>
      </c>
      <c r="BA80" s="35">
        <f t="shared" si="16"/>
        <v>12.61</v>
      </c>
      <c r="BB80" s="35">
        <f t="shared" si="17"/>
        <v>12.61</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1272">
        <v>69</v>
      </c>
      <c r="B81" s="34"/>
      <c r="C81" s="34"/>
      <c r="D81" s="2952" t="s">
        <v>3068</v>
      </c>
      <c r="E81" s="16">
        <f t="shared" si="7"/>
        <v>1.52</v>
      </c>
      <c r="F81" s="36"/>
      <c r="G81" s="37">
        <f t="shared" si="8"/>
        <v>13.59</v>
      </c>
      <c r="H81" s="38">
        <f t="shared" si="9"/>
        <v>13.59</v>
      </c>
      <c r="I81" s="2955">
        <v>13.59</v>
      </c>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69</v>
      </c>
      <c r="AW81" s="1795">
        <f t="shared" si="12"/>
        <v>0</v>
      </c>
      <c r="AX81" s="1795">
        <f t="shared" si="13"/>
        <v>0</v>
      </c>
      <c r="AY81" s="42">
        <f t="shared" si="14"/>
        <v>1.52</v>
      </c>
      <c r="AZ81" s="35">
        <f t="shared" si="15"/>
        <v>13.59</v>
      </c>
      <c r="BA81" s="35">
        <f t="shared" si="16"/>
        <v>13.59</v>
      </c>
      <c r="BB81" s="35">
        <f t="shared" si="17"/>
        <v>13.59</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1272">
        <v>70</v>
      </c>
      <c r="B82" s="34"/>
      <c r="C82" s="34"/>
      <c r="D82" s="2952" t="s">
        <v>3068</v>
      </c>
      <c r="E82" s="16">
        <f t="shared" si="7"/>
        <v>1.59</v>
      </c>
      <c r="F82" s="36"/>
      <c r="G82" s="37">
        <f t="shared" si="8"/>
        <v>14.17</v>
      </c>
      <c r="H82" s="38">
        <f t="shared" si="9"/>
        <v>14.17</v>
      </c>
      <c r="I82" s="2955">
        <v>14.17</v>
      </c>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70</v>
      </c>
      <c r="AW82" s="1795">
        <f t="shared" si="12"/>
        <v>0</v>
      </c>
      <c r="AX82" s="1795">
        <f t="shared" si="13"/>
        <v>0</v>
      </c>
      <c r="AY82" s="42">
        <f t="shared" si="14"/>
        <v>1.59</v>
      </c>
      <c r="AZ82" s="35">
        <f t="shared" si="15"/>
        <v>14.17</v>
      </c>
      <c r="BA82" s="35">
        <f t="shared" si="16"/>
        <v>14.17</v>
      </c>
      <c r="BB82" s="35">
        <f t="shared" si="17"/>
        <v>14.17</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1272">
        <v>71</v>
      </c>
      <c r="B83" s="34"/>
      <c r="C83" s="34"/>
      <c r="D83" s="2952" t="s">
        <v>3068</v>
      </c>
      <c r="E83" s="16">
        <f t="shared" si="7"/>
        <v>1.32</v>
      </c>
      <c r="F83" s="36"/>
      <c r="G83" s="37">
        <f t="shared" si="8"/>
        <v>11.77</v>
      </c>
      <c r="H83" s="38">
        <f t="shared" si="9"/>
        <v>11.77</v>
      </c>
      <c r="I83" s="2955">
        <v>11.77</v>
      </c>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71</v>
      </c>
      <c r="AW83" s="1795">
        <f t="shared" si="12"/>
        <v>0</v>
      </c>
      <c r="AX83" s="1795">
        <f t="shared" si="13"/>
        <v>0</v>
      </c>
      <c r="AY83" s="42">
        <f t="shared" si="14"/>
        <v>1.32</v>
      </c>
      <c r="AZ83" s="35">
        <f t="shared" si="15"/>
        <v>11.77</v>
      </c>
      <c r="BA83" s="35">
        <f t="shared" si="16"/>
        <v>11.77</v>
      </c>
      <c r="BB83" s="35">
        <f t="shared" si="17"/>
        <v>11.77</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1272">
        <v>72</v>
      </c>
      <c r="B84" s="34"/>
      <c r="C84" s="34"/>
      <c r="D84" s="2952" t="s">
        <v>3068</v>
      </c>
      <c r="E84" s="16">
        <f t="shared" si="7"/>
        <v>1.59</v>
      </c>
      <c r="F84" s="36"/>
      <c r="G84" s="37">
        <f t="shared" si="8"/>
        <v>14.17</v>
      </c>
      <c r="H84" s="38">
        <f t="shared" si="9"/>
        <v>14.17</v>
      </c>
      <c r="I84" s="2955">
        <v>14.17</v>
      </c>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72</v>
      </c>
      <c r="AW84" s="1795">
        <f t="shared" si="12"/>
        <v>0</v>
      </c>
      <c r="AX84" s="1795">
        <f t="shared" si="13"/>
        <v>0</v>
      </c>
      <c r="AY84" s="42">
        <f t="shared" si="14"/>
        <v>1.59</v>
      </c>
      <c r="AZ84" s="35">
        <f t="shared" si="15"/>
        <v>14.17</v>
      </c>
      <c r="BA84" s="35">
        <f t="shared" si="16"/>
        <v>14.17</v>
      </c>
      <c r="BB84" s="35">
        <f t="shared" si="17"/>
        <v>14.17</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1272">
        <v>73</v>
      </c>
      <c r="B85" s="34"/>
      <c r="C85" s="34"/>
      <c r="D85" s="2952" t="s">
        <v>3068</v>
      </c>
      <c r="E85" s="16">
        <f t="shared" si="7"/>
        <v>1.94</v>
      </c>
      <c r="F85" s="36"/>
      <c r="G85" s="37">
        <f t="shared" si="8"/>
        <v>17.3</v>
      </c>
      <c r="H85" s="38">
        <f t="shared" si="9"/>
        <v>17.3</v>
      </c>
      <c r="I85" s="2955">
        <v>17.3</v>
      </c>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73</v>
      </c>
      <c r="AW85" s="1795">
        <f t="shared" si="12"/>
        <v>0</v>
      </c>
      <c r="AX85" s="1795">
        <f t="shared" si="13"/>
        <v>0</v>
      </c>
      <c r="AY85" s="42">
        <f t="shared" si="14"/>
        <v>1.94</v>
      </c>
      <c r="AZ85" s="35">
        <f t="shared" si="15"/>
        <v>17.3</v>
      </c>
      <c r="BA85" s="35">
        <f t="shared" si="16"/>
        <v>17.3</v>
      </c>
      <c r="BB85" s="35">
        <f t="shared" si="17"/>
        <v>17.3</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1272">
        <v>74</v>
      </c>
      <c r="B86" s="34"/>
      <c r="C86" s="34"/>
      <c r="D86" s="2952" t="s">
        <v>3068</v>
      </c>
      <c r="E86" s="16">
        <f t="shared" si="7"/>
        <v>1.94</v>
      </c>
      <c r="F86" s="36"/>
      <c r="G86" s="37">
        <f t="shared" si="8"/>
        <v>17.3</v>
      </c>
      <c r="H86" s="38">
        <f t="shared" si="9"/>
        <v>17.3</v>
      </c>
      <c r="I86" s="2955">
        <v>17.3</v>
      </c>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74</v>
      </c>
      <c r="AW86" s="1795">
        <f t="shared" si="12"/>
        <v>0</v>
      </c>
      <c r="AX86" s="1795">
        <f t="shared" si="13"/>
        <v>0</v>
      </c>
      <c r="AY86" s="42">
        <f t="shared" si="14"/>
        <v>1.94</v>
      </c>
      <c r="AZ86" s="35">
        <f t="shared" si="15"/>
        <v>17.3</v>
      </c>
      <c r="BA86" s="35">
        <f t="shared" si="16"/>
        <v>17.3</v>
      </c>
      <c r="BB86" s="35">
        <f t="shared" si="17"/>
        <v>17.3</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1272">
        <v>75</v>
      </c>
      <c r="B87" s="34"/>
      <c r="C87" s="34"/>
      <c r="D87" s="2952" t="s">
        <v>3068</v>
      </c>
      <c r="E87" s="16">
        <f t="shared" si="7"/>
        <v>3.96</v>
      </c>
      <c r="F87" s="36"/>
      <c r="G87" s="37">
        <f t="shared" si="8"/>
        <v>35.31</v>
      </c>
      <c r="H87" s="38">
        <f t="shared" si="9"/>
        <v>35.31</v>
      </c>
      <c r="I87" s="2955">
        <v>35.31</v>
      </c>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75</v>
      </c>
      <c r="AW87" s="1795">
        <f t="shared" si="12"/>
        <v>0</v>
      </c>
      <c r="AX87" s="1795">
        <f t="shared" si="13"/>
        <v>0</v>
      </c>
      <c r="AY87" s="42">
        <f t="shared" si="14"/>
        <v>3.96</v>
      </c>
      <c r="AZ87" s="35">
        <f t="shared" si="15"/>
        <v>35.31</v>
      </c>
      <c r="BA87" s="35">
        <f t="shared" si="16"/>
        <v>35.31</v>
      </c>
      <c r="BB87" s="35">
        <f t="shared" si="17"/>
        <v>35.31</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1272">
        <v>76</v>
      </c>
      <c r="B88" s="34"/>
      <c r="C88" s="34"/>
      <c r="D88" s="2952" t="s">
        <v>3068</v>
      </c>
      <c r="E88" s="16">
        <f t="shared" si="7"/>
        <v>4.1399999999999997</v>
      </c>
      <c r="F88" s="36"/>
      <c r="G88" s="37">
        <f t="shared" si="8"/>
        <v>36.93</v>
      </c>
      <c r="H88" s="38">
        <f t="shared" si="9"/>
        <v>36.93</v>
      </c>
      <c r="I88" s="2955">
        <v>36.93</v>
      </c>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76</v>
      </c>
      <c r="AW88" s="1795">
        <f t="shared" si="12"/>
        <v>0</v>
      </c>
      <c r="AX88" s="1795">
        <f t="shared" si="13"/>
        <v>0</v>
      </c>
      <c r="AY88" s="42">
        <f t="shared" si="14"/>
        <v>4.1399999999999997</v>
      </c>
      <c r="AZ88" s="35">
        <f t="shared" si="15"/>
        <v>36.93</v>
      </c>
      <c r="BA88" s="35">
        <f t="shared" si="16"/>
        <v>36.93</v>
      </c>
      <c r="BB88" s="35">
        <f t="shared" si="17"/>
        <v>36.93</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1272">
        <v>77</v>
      </c>
      <c r="B89" s="34"/>
      <c r="C89" s="34"/>
      <c r="D89" s="2952" t="s">
        <v>3068</v>
      </c>
      <c r="E89" s="16">
        <f t="shared" si="7"/>
        <v>5.34</v>
      </c>
      <c r="F89" s="36"/>
      <c r="G89" s="37">
        <f t="shared" si="8"/>
        <v>47.63</v>
      </c>
      <c r="H89" s="38">
        <f t="shared" si="9"/>
        <v>47.63</v>
      </c>
      <c r="I89" s="2955">
        <v>47.63</v>
      </c>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77</v>
      </c>
      <c r="AW89" s="1795">
        <f t="shared" si="12"/>
        <v>0</v>
      </c>
      <c r="AX89" s="1795">
        <f t="shared" si="13"/>
        <v>0</v>
      </c>
      <c r="AY89" s="42">
        <f t="shared" si="14"/>
        <v>5.34</v>
      </c>
      <c r="AZ89" s="35">
        <f t="shared" si="15"/>
        <v>47.63</v>
      </c>
      <c r="BA89" s="35">
        <f t="shared" si="16"/>
        <v>47.63</v>
      </c>
      <c r="BB89" s="35">
        <f t="shared" si="17"/>
        <v>47.63</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1272">
        <v>78</v>
      </c>
      <c r="B90" s="34"/>
      <c r="C90" s="34"/>
      <c r="D90" s="2952" t="s">
        <v>3068</v>
      </c>
      <c r="E90" s="16">
        <f t="shared" si="7"/>
        <v>3.84</v>
      </c>
      <c r="F90" s="36"/>
      <c r="G90" s="37">
        <f t="shared" si="8"/>
        <v>34.29</v>
      </c>
      <c r="H90" s="38">
        <f t="shared" si="9"/>
        <v>34.29</v>
      </c>
      <c r="I90" s="2955">
        <v>34.29</v>
      </c>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78</v>
      </c>
      <c r="AW90" s="1795">
        <f t="shared" si="12"/>
        <v>0</v>
      </c>
      <c r="AX90" s="1795">
        <f t="shared" si="13"/>
        <v>0</v>
      </c>
      <c r="AY90" s="42">
        <f t="shared" si="14"/>
        <v>3.84</v>
      </c>
      <c r="AZ90" s="35">
        <f t="shared" si="15"/>
        <v>34.29</v>
      </c>
      <c r="BA90" s="35">
        <f t="shared" si="16"/>
        <v>34.29</v>
      </c>
      <c r="BB90" s="35">
        <f t="shared" si="17"/>
        <v>34.29</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1272">
        <v>79</v>
      </c>
      <c r="B91" s="34"/>
      <c r="C91" s="34"/>
      <c r="D91" s="2952" t="s">
        <v>3068</v>
      </c>
      <c r="E91" s="16">
        <f t="shared" si="7"/>
        <v>3.84</v>
      </c>
      <c r="F91" s="36"/>
      <c r="G91" s="37">
        <f t="shared" si="8"/>
        <v>34.29</v>
      </c>
      <c r="H91" s="38">
        <f t="shared" si="9"/>
        <v>34.29</v>
      </c>
      <c r="I91" s="2955">
        <v>34.29</v>
      </c>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79</v>
      </c>
      <c r="AW91" s="1795">
        <f t="shared" si="12"/>
        <v>0</v>
      </c>
      <c r="AX91" s="1795">
        <f t="shared" si="13"/>
        <v>0</v>
      </c>
      <c r="AY91" s="42">
        <f t="shared" si="14"/>
        <v>3.84</v>
      </c>
      <c r="AZ91" s="35">
        <f t="shared" si="15"/>
        <v>34.29</v>
      </c>
      <c r="BA91" s="35">
        <f t="shared" si="16"/>
        <v>34.29</v>
      </c>
      <c r="BB91" s="35">
        <f t="shared" si="17"/>
        <v>34.29</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1272">
        <v>80</v>
      </c>
      <c r="B92" s="34"/>
      <c r="C92" s="34"/>
      <c r="D92" s="2952" t="s">
        <v>3068</v>
      </c>
      <c r="E92" s="16">
        <f t="shared" si="7"/>
        <v>3.98</v>
      </c>
      <c r="F92" s="36"/>
      <c r="G92" s="37">
        <f t="shared" si="8"/>
        <v>35.49</v>
      </c>
      <c r="H92" s="38">
        <f t="shared" si="9"/>
        <v>35.49</v>
      </c>
      <c r="I92" s="2955">
        <v>35.49</v>
      </c>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80</v>
      </c>
      <c r="AW92" s="1795">
        <f t="shared" si="12"/>
        <v>0</v>
      </c>
      <c r="AX92" s="1795">
        <f t="shared" si="13"/>
        <v>0</v>
      </c>
      <c r="AY92" s="42">
        <f t="shared" si="14"/>
        <v>3.98</v>
      </c>
      <c r="AZ92" s="35">
        <f t="shared" si="15"/>
        <v>35.49</v>
      </c>
      <c r="BA92" s="35">
        <f t="shared" si="16"/>
        <v>35.49</v>
      </c>
      <c r="BB92" s="35">
        <f t="shared" si="17"/>
        <v>35.49</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1272">
        <v>81</v>
      </c>
      <c r="B93" s="34"/>
      <c r="C93" s="34"/>
      <c r="D93" s="2952" t="s">
        <v>3068</v>
      </c>
      <c r="E93" s="16">
        <f t="shared" si="7"/>
        <v>1.34</v>
      </c>
      <c r="F93" s="36"/>
      <c r="G93" s="37">
        <f t="shared" si="8"/>
        <v>11.92</v>
      </c>
      <c r="H93" s="38">
        <f t="shared" si="9"/>
        <v>11.92</v>
      </c>
      <c r="I93" s="2955">
        <v>11.92</v>
      </c>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81</v>
      </c>
      <c r="AW93" s="1795">
        <f t="shared" si="12"/>
        <v>0</v>
      </c>
      <c r="AX93" s="1795">
        <f t="shared" si="13"/>
        <v>0</v>
      </c>
      <c r="AY93" s="42">
        <f t="shared" si="14"/>
        <v>1.34</v>
      </c>
      <c r="AZ93" s="35">
        <f t="shared" si="15"/>
        <v>11.92</v>
      </c>
      <c r="BA93" s="35">
        <f t="shared" si="16"/>
        <v>11.92</v>
      </c>
      <c r="BB93" s="35">
        <f t="shared" si="17"/>
        <v>11.92</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1272">
        <v>82</v>
      </c>
      <c r="B94" s="34"/>
      <c r="C94" s="34"/>
      <c r="D94" s="2952" t="s">
        <v>3068</v>
      </c>
      <c r="E94" s="16">
        <f t="shared" si="7"/>
        <v>1.24</v>
      </c>
      <c r="F94" s="36"/>
      <c r="G94" s="37">
        <f t="shared" si="8"/>
        <v>11.1</v>
      </c>
      <c r="H94" s="38">
        <f t="shared" si="9"/>
        <v>11.1</v>
      </c>
      <c r="I94" s="2956">
        <v>11.1</v>
      </c>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82</v>
      </c>
      <c r="AW94" s="1795">
        <f t="shared" si="12"/>
        <v>0</v>
      </c>
      <c r="AX94" s="1795">
        <f t="shared" si="13"/>
        <v>0</v>
      </c>
      <c r="AY94" s="42">
        <f t="shared" si="14"/>
        <v>1.24</v>
      </c>
      <c r="AZ94" s="35">
        <f t="shared" si="15"/>
        <v>11.1</v>
      </c>
      <c r="BA94" s="35">
        <f t="shared" si="16"/>
        <v>11.1</v>
      </c>
      <c r="BB94" s="35">
        <f t="shared" si="17"/>
        <v>11.1</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1272">
        <v>83</v>
      </c>
      <c r="B95" s="34"/>
      <c r="C95" s="34"/>
      <c r="D95" s="2952" t="s">
        <v>3068</v>
      </c>
      <c r="E95" s="16">
        <f t="shared" si="7"/>
        <v>1.27</v>
      </c>
      <c r="F95" s="36"/>
      <c r="G95" s="37">
        <f t="shared" si="8"/>
        <v>11.35</v>
      </c>
      <c r="H95" s="38">
        <f t="shared" si="9"/>
        <v>11.35</v>
      </c>
      <c r="I95" s="2956">
        <v>11.35</v>
      </c>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83</v>
      </c>
      <c r="AW95" s="1795">
        <f t="shared" si="12"/>
        <v>0</v>
      </c>
      <c r="AX95" s="1795">
        <f t="shared" si="13"/>
        <v>0</v>
      </c>
      <c r="AY95" s="42">
        <f t="shared" si="14"/>
        <v>1.27</v>
      </c>
      <c r="AZ95" s="35">
        <f t="shared" si="15"/>
        <v>11.35</v>
      </c>
      <c r="BA95" s="35">
        <f t="shared" si="16"/>
        <v>11.35</v>
      </c>
      <c r="BB95" s="35">
        <f t="shared" si="17"/>
        <v>11.35</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1272">
        <v>84</v>
      </c>
      <c r="B96" s="34"/>
      <c r="C96" s="34"/>
      <c r="D96" s="2952" t="s">
        <v>3068</v>
      </c>
      <c r="E96" s="16">
        <f t="shared" si="7"/>
        <v>1.29</v>
      </c>
      <c r="F96" s="36"/>
      <c r="G96" s="37">
        <f t="shared" si="8"/>
        <v>11.55</v>
      </c>
      <c r="H96" s="38">
        <f t="shared" si="9"/>
        <v>11.55</v>
      </c>
      <c r="I96" s="2956">
        <v>11.55</v>
      </c>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84</v>
      </c>
      <c r="AW96" s="1795">
        <f t="shared" si="12"/>
        <v>0</v>
      </c>
      <c r="AX96" s="1795">
        <f t="shared" si="13"/>
        <v>0</v>
      </c>
      <c r="AY96" s="42">
        <f t="shared" si="14"/>
        <v>1.29</v>
      </c>
      <c r="AZ96" s="35">
        <f t="shared" si="15"/>
        <v>11.55</v>
      </c>
      <c r="BA96" s="35">
        <f t="shared" si="16"/>
        <v>11.55</v>
      </c>
      <c r="BB96" s="35">
        <f t="shared" si="17"/>
        <v>11.55</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1272">
        <v>85</v>
      </c>
      <c r="B97" s="34"/>
      <c r="C97" s="34"/>
      <c r="D97" s="2952" t="s">
        <v>3068</v>
      </c>
      <c r="E97" s="16">
        <f t="shared" si="7"/>
        <v>1.29</v>
      </c>
      <c r="F97" s="36"/>
      <c r="G97" s="37">
        <f t="shared" si="8"/>
        <v>11.55</v>
      </c>
      <c r="H97" s="38">
        <f t="shared" si="9"/>
        <v>11.55</v>
      </c>
      <c r="I97" s="2956">
        <v>11.55</v>
      </c>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85</v>
      </c>
      <c r="AW97" s="1795">
        <f t="shared" si="12"/>
        <v>0</v>
      </c>
      <c r="AX97" s="1795">
        <f t="shared" si="13"/>
        <v>0</v>
      </c>
      <c r="AY97" s="42">
        <f t="shared" si="14"/>
        <v>1.29</v>
      </c>
      <c r="AZ97" s="35">
        <f t="shared" si="15"/>
        <v>11.55</v>
      </c>
      <c r="BA97" s="35">
        <f t="shared" si="16"/>
        <v>11.55</v>
      </c>
      <c r="BB97" s="35">
        <f t="shared" si="17"/>
        <v>11.55</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1272">
        <v>86</v>
      </c>
      <c r="B98" s="34"/>
      <c r="C98" s="34"/>
      <c r="D98" s="2952" t="s">
        <v>3068</v>
      </c>
      <c r="E98" s="16">
        <f t="shared" si="7"/>
        <v>1.29</v>
      </c>
      <c r="F98" s="36"/>
      <c r="G98" s="37">
        <f t="shared" si="8"/>
        <v>11.55</v>
      </c>
      <c r="H98" s="38">
        <f t="shared" si="9"/>
        <v>11.55</v>
      </c>
      <c r="I98" s="2956">
        <v>11.55</v>
      </c>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86</v>
      </c>
      <c r="AW98" s="1795">
        <f t="shared" si="12"/>
        <v>0</v>
      </c>
      <c r="AX98" s="1795">
        <f t="shared" si="13"/>
        <v>0</v>
      </c>
      <c r="AY98" s="42">
        <f t="shared" si="14"/>
        <v>1.29</v>
      </c>
      <c r="AZ98" s="35">
        <f t="shared" si="15"/>
        <v>11.55</v>
      </c>
      <c r="BA98" s="35">
        <f t="shared" si="16"/>
        <v>11.55</v>
      </c>
      <c r="BB98" s="35">
        <f t="shared" si="17"/>
        <v>11.55</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1272">
        <v>87</v>
      </c>
      <c r="B99" s="34"/>
      <c r="C99" s="34"/>
      <c r="D99" s="2952" t="s">
        <v>3068</v>
      </c>
      <c r="E99" s="16">
        <f t="shared" si="7"/>
        <v>1.29</v>
      </c>
      <c r="F99" s="36"/>
      <c r="G99" s="37">
        <f t="shared" si="8"/>
        <v>11.55</v>
      </c>
      <c r="H99" s="38">
        <f t="shared" si="9"/>
        <v>11.55</v>
      </c>
      <c r="I99" s="2956">
        <v>11.55</v>
      </c>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87</v>
      </c>
      <c r="AW99" s="1795">
        <f t="shared" si="12"/>
        <v>0</v>
      </c>
      <c r="AX99" s="1795">
        <f t="shared" si="13"/>
        <v>0</v>
      </c>
      <c r="AY99" s="42">
        <f t="shared" si="14"/>
        <v>1.29</v>
      </c>
      <c r="AZ99" s="35">
        <f t="shared" si="15"/>
        <v>11.55</v>
      </c>
      <c r="BA99" s="35">
        <f t="shared" si="16"/>
        <v>11.55</v>
      </c>
      <c r="BB99" s="35">
        <f t="shared" si="17"/>
        <v>11.55</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1272">
        <v>88</v>
      </c>
      <c r="B100" s="34"/>
      <c r="C100" s="34"/>
      <c r="D100" s="2952" t="s">
        <v>3068</v>
      </c>
      <c r="E100" s="16">
        <f t="shared" si="7"/>
        <v>2.79</v>
      </c>
      <c r="F100" s="36"/>
      <c r="G100" s="37">
        <f t="shared" si="8"/>
        <v>24.87</v>
      </c>
      <c r="H100" s="38">
        <f t="shared" si="9"/>
        <v>24.87</v>
      </c>
      <c r="I100" s="2956">
        <v>24.87</v>
      </c>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88</v>
      </c>
      <c r="AW100" s="1795">
        <f t="shared" si="12"/>
        <v>0</v>
      </c>
      <c r="AX100" s="1795">
        <f t="shared" si="13"/>
        <v>0</v>
      </c>
      <c r="AY100" s="42">
        <f t="shared" si="14"/>
        <v>2.79</v>
      </c>
      <c r="AZ100" s="35">
        <f t="shared" si="15"/>
        <v>24.87</v>
      </c>
      <c r="BA100" s="35">
        <f t="shared" si="16"/>
        <v>24.87</v>
      </c>
      <c r="BB100" s="35">
        <f t="shared" si="17"/>
        <v>24.87</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1272">
        <v>89</v>
      </c>
      <c r="B101" s="34"/>
      <c r="C101" s="34"/>
      <c r="D101" s="2952" t="s">
        <v>3068</v>
      </c>
      <c r="E101" s="16">
        <f t="shared" si="7"/>
        <v>2</v>
      </c>
      <c r="F101" s="36"/>
      <c r="G101" s="37">
        <f t="shared" si="8"/>
        <v>17.809999999999999</v>
      </c>
      <c r="H101" s="38">
        <f t="shared" si="9"/>
        <v>17.809999999999999</v>
      </c>
      <c r="I101" s="2956">
        <v>17.809999999999999</v>
      </c>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89</v>
      </c>
      <c r="AW101" s="1795">
        <f t="shared" si="12"/>
        <v>0</v>
      </c>
      <c r="AX101" s="1795">
        <f t="shared" si="13"/>
        <v>0</v>
      </c>
      <c r="AY101" s="42">
        <f t="shared" si="14"/>
        <v>2</v>
      </c>
      <c r="AZ101" s="35">
        <f t="shared" si="15"/>
        <v>17.809999999999999</v>
      </c>
      <c r="BA101" s="35">
        <f t="shared" si="16"/>
        <v>17.809999999999999</v>
      </c>
      <c r="BB101" s="35">
        <f t="shared" si="17"/>
        <v>17.809999999999999</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1272">
        <v>90</v>
      </c>
      <c r="B102" s="34"/>
      <c r="C102" s="34"/>
      <c r="D102" s="2952" t="s">
        <v>3068</v>
      </c>
      <c r="E102" s="16">
        <f t="shared" si="7"/>
        <v>1</v>
      </c>
      <c r="F102" s="36"/>
      <c r="G102" s="37">
        <f t="shared" si="8"/>
        <v>8.8800000000000008</v>
      </c>
      <c r="H102" s="38">
        <f t="shared" si="9"/>
        <v>8.8800000000000008</v>
      </c>
      <c r="I102" s="2956">
        <v>8.8800000000000008</v>
      </c>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90</v>
      </c>
      <c r="AW102" s="1795">
        <f t="shared" si="12"/>
        <v>0</v>
      </c>
      <c r="AX102" s="1795">
        <f t="shared" si="13"/>
        <v>0</v>
      </c>
      <c r="AY102" s="42">
        <f t="shared" si="14"/>
        <v>1</v>
      </c>
      <c r="AZ102" s="35">
        <f t="shared" si="15"/>
        <v>8.8800000000000008</v>
      </c>
      <c r="BA102" s="35">
        <f t="shared" si="16"/>
        <v>8.8800000000000008</v>
      </c>
      <c r="BB102" s="35">
        <f t="shared" si="17"/>
        <v>8.8800000000000008</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1272">
        <v>91</v>
      </c>
      <c r="B103" s="34"/>
      <c r="C103" s="34"/>
      <c r="D103" s="2952" t="s">
        <v>3068</v>
      </c>
      <c r="E103" s="16">
        <f t="shared" si="7"/>
        <v>1</v>
      </c>
      <c r="F103" s="36"/>
      <c r="G103" s="37">
        <f t="shared" si="8"/>
        <v>8.8800000000000008</v>
      </c>
      <c r="H103" s="38">
        <f t="shared" si="9"/>
        <v>8.8800000000000008</v>
      </c>
      <c r="I103" s="2956">
        <v>8.8800000000000008</v>
      </c>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91</v>
      </c>
      <c r="AW103" s="1795">
        <f t="shared" si="12"/>
        <v>0</v>
      </c>
      <c r="AX103" s="1795">
        <f t="shared" si="13"/>
        <v>0</v>
      </c>
      <c r="AY103" s="42">
        <f t="shared" si="14"/>
        <v>1</v>
      </c>
      <c r="AZ103" s="35">
        <f t="shared" si="15"/>
        <v>8.8800000000000008</v>
      </c>
      <c r="BA103" s="35">
        <f t="shared" si="16"/>
        <v>8.8800000000000008</v>
      </c>
      <c r="BB103" s="35">
        <f t="shared" si="17"/>
        <v>8.8800000000000008</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1272">
        <v>92</v>
      </c>
      <c r="B104" s="34"/>
      <c r="C104" s="34"/>
      <c r="D104" s="2952" t="s">
        <v>3068</v>
      </c>
      <c r="E104" s="16">
        <f t="shared" si="7"/>
        <v>1</v>
      </c>
      <c r="F104" s="36"/>
      <c r="G104" s="37">
        <f t="shared" si="8"/>
        <v>8.8800000000000008</v>
      </c>
      <c r="H104" s="38">
        <f t="shared" si="9"/>
        <v>8.8800000000000008</v>
      </c>
      <c r="I104" s="2956">
        <v>8.8800000000000008</v>
      </c>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92</v>
      </c>
      <c r="AW104" s="1795">
        <f t="shared" si="12"/>
        <v>0</v>
      </c>
      <c r="AX104" s="1795">
        <f t="shared" si="13"/>
        <v>0</v>
      </c>
      <c r="AY104" s="42">
        <f t="shared" si="14"/>
        <v>1</v>
      </c>
      <c r="AZ104" s="35">
        <f t="shared" si="15"/>
        <v>8.8800000000000008</v>
      </c>
      <c r="BA104" s="35">
        <f t="shared" si="16"/>
        <v>8.8800000000000008</v>
      </c>
      <c r="BB104" s="35">
        <f t="shared" si="17"/>
        <v>8.8800000000000008</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1272">
        <v>93</v>
      </c>
      <c r="B105" s="34"/>
      <c r="C105" s="34"/>
      <c r="D105" s="2952" t="s">
        <v>3068</v>
      </c>
      <c r="E105" s="16">
        <f t="shared" si="7"/>
        <v>1</v>
      </c>
      <c r="F105" s="36"/>
      <c r="G105" s="37">
        <f t="shared" si="8"/>
        <v>8.8800000000000008</v>
      </c>
      <c r="H105" s="38">
        <f t="shared" si="9"/>
        <v>8.8800000000000008</v>
      </c>
      <c r="I105" s="2956">
        <v>8.8800000000000008</v>
      </c>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93</v>
      </c>
      <c r="AW105" s="1795">
        <f t="shared" si="12"/>
        <v>0</v>
      </c>
      <c r="AX105" s="1795">
        <f t="shared" si="13"/>
        <v>0</v>
      </c>
      <c r="AY105" s="42">
        <f t="shared" si="14"/>
        <v>1</v>
      </c>
      <c r="AZ105" s="35">
        <f t="shared" si="15"/>
        <v>8.8800000000000008</v>
      </c>
      <c r="BA105" s="35">
        <f t="shared" si="16"/>
        <v>8.8800000000000008</v>
      </c>
      <c r="BB105" s="35">
        <f t="shared" si="17"/>
        <v>8.8800000000000008</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1272">
        <v>94</v>
      </c>
      <c r="B106" s="34"/>
      <c r="C106" s="34"/>
      <c r="D106" s="2952" t="s">
        <v>3068</v>
      </c>
      <c r="E106" s="16">
        <f t="shared" si="7"/>
        <v>1</v>
      </c>
      <c r="F106" s="36"/>
      <c r="G106" s="37">
        <f t="shared" si="8"/>
        <v>8.8800000000000008</v>
      </c>
      <c r="H106" s="38">
        <f t="shared" si="9"/>
        <v>8.8800000000000008</v>
      </c>
      <c r="I106" s="2956">
        <v>8.8800000000000008</v>
      </c>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94</v>
      </c>
      <c r="AW106" s="1795">
        <f t="shared" si="12"/>
        <v>0</v>
      </c>
      <c r="AX106" s="1795">
        <f t="shared" si="13"/>
        <v>0</v>
      </c>
      <c r="AY106" s="42">
        <f t="shared" si="14"/>
        <v>1</v>
      </c>
      <c r="AZ106" s="35">
        <f t="shared" si="15"/>
        <v>8.8800000000000008</v>
      </c>
      <c r="BA106" s="35">
        <f t="shared" si="16"/>
        <v>8.8800000000000008</v>
      </c>
      <c r="BB106" s="35">
        <f t="shared" si="17"/>
        <v>8.8800000000000008</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1272">
        <v>95</v>
      </c>
      <c r="B107" s="34"/>
      <c r="C107" s="34"/>
      <c r="D107" s="2952" t="s">
        <v>3068</v>
      </c>
      <c r="E107" s="16">
        <f t="shared" si="7"/>
        <v>1</v>
      </c>
      <c r="F107" s="36"/>
      <c r="G107" s="37">
        <f t="shared" si="8"/>
        <v>8.8800000000000008</v>
      </c>
      <c r="H107" s="38">
        <f t="shared" si="9"/>
        <v>8.8800000000000008</v>
      </c>
      <c r="I107" s="2956">
        <v>8.8800000000000008</v>
      </c>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95</v>
      </c>
      <c r="AW107" s="1795">
        <f t="shared" si="12"/>
        <v>0</v>
      </c>
      <c r="AX107" s="1795">
        <f t="shared" si="13"/>
        <v>0</v>
      </c>
      <c r="AY107" s="42">
        <f t="shared" si="14"/>
        <v>1</v>
      </c>
      <c r="AZ107" s="35">
        <f t="shared" si="15"/>
        <v>8.8800000000000008</v>
      </c>
      <c r="BA107" s="35">
        <f t="shared" si="16"/>
        <v>8.8800000000000008</v>
      </c>
      <c r="BB107" s="35">
        <f t="shared" si="17"/>
        <v>8.8800000000000008</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1272">
        <v>96</v>
      </c>
      <c r="B108" s="34"/>
      <c r="C108" s="34"/>
      <c r="D108" s="2952" t="s">
        <v>3068</v>
      </c>
      <c r="E108" s="16">
        <f t="shared" si="7"/>
        <v>1</v>
      </c>
      <c r="F108" s="36"/>
      <c r="G108" s="37">
        <f t="shared" si="8"/>
        <v>8.8800000000000008</v>
      </c>
      <c r="H108" s="38">
        <f t="shared" si="9"/>
        <v>8.8800000000000008</v>
      </c>
      <c r="I108" s="2956">
        <v>8.8800000000000008</v>
      </c>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96</v>
      </c>
      <c r="AW108" s="1795">
        <f t="shared" si="12"/>
        <v>0</v>
      </c>
      <c r="AX108" s="1795">
        <f t="shared" si="13"/>
        <v>0</v>
      </c>
      <c r="AY108" s="42">
        <f t="shared" si="14"/>
        <v>1</v>
      </c>
      <c r="AZ108" s="35">
        <f t="shared" si="15"/>
        <v>8.8800000000000008</v>
      </c>
      <c r="BA108" s="35">
        <f t="shared" si="16"/>
        <v>8.8800000000000008</v>
      </c>
      <c r="BB108" s="35">
        <f t="shared" si="17"/>
        <v>8.8800000000000008</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1272">
        <v>97</v>
      </c>
      <c r="B109" s="34"/>
      <c r="C109" s="34"/>
      <c r="D109" s="2952" t="s">
        <v>3068</v>
      </c>
      <c r="E109" s="16">
        <f t="shared" si="7"/>
        <v>1</v>
      </c>
      <c r="F109" s="36"/>
      <c r="G109" s="37">
        <f t="shared" si="8"/>
        <v>8.8800000000000008</v>
      </c>
      <c r="H109" s="38">
        <f t="shared" si="9"/>
        <v>8.8800000000000008</v>
      </c>
      <c r="I109" s="2956">
        <v>8.8800000000000008</v>
      </c>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97</v>
      </c>
      <c r="AW109" s="1795">
        <f t="shared" si="12"/>
        <v>0</v>
      </c>
      <c r="AX109" s="1795">
        <f t="shared" si="13"/>
        <v>0</v>
      </c>
      <c r="AY109" s="42">
        <f t="shared" si="14"/>
        <v>1</v>
      </c>
      <c r="AZ109" s="35">
        <f t="shared" si="15"/>
        <v>8.8800000000000008</v>
      </c>
      <c r="BA109" s="35">
        <f t="shared" si="16"/>
        <v>8.8800000000000008</v>
      </c>
      <c r="BB109" s="35">
        <f t="shared" si="17"/>
        <v>8.8800000000000008</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1272">
        <v>98</v>
      </c>
      <c r="B110" s="9"/>
      <c r="C110" s="9"/>
      <c r="D110" s="2952" t="s">
        <v>3068</v>
      </c>
      <c r="E110" s="16">
        <f t="shared" si="7"/>
        <v>1</v>
      </c>
      <c r="F110" s="44"/>
      <c r="G110" s="37">
        <f t="shared" ref="G110:G141" si="36">H110+AC110+AT110</f>
        <v>8.8800000000000008</v>
      </c>
      <c r="H110" s="38">
        <f t="shared" ref="H110:H141" si="37">SUMIF(I$12:AB$12,"总值",I110:AB110)</f>
        <v>8.8800000000000008</v>
      </c>
      <c r="I110" s="2956">
        <v>8.8800000000000008</v>
      </c>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98</v>
      </c>
      <c r="AW110" s="1795">
        <f t="shared" si="12"/>
        <v>0</v>
      </c>
      <c r="AX110" s="1795">
        <f t="shared" si="13"/>
        <v>0</v>
      </c>
      <c r="AY110" s="42">
        <f t="shared" ref="AY110:AY141" si="39">ROUND($AY$6*AZ110/$AZ$5,2)</f>
        <v>1</v>
      </c>
      <c r="AZ110" s="35">
        <f t="shared" ref="AZ110:AZ141" si="40">BA110+BL110</f>
        <v>8.8800000000000008</v>
      </c>
      <c r="BA110" s="35">
        <f t="shared" ref="BA110:BA141" si="41">SUM(BB110:BK110)</f>
        <v>8.8800000000000008</v>
      </c>
      <c r="BB110" s="35">
        <f t="shared" ref="BB110:BB141" si="42">IF($D110="是",I110-J110,0)</f>
        <v>8.8800000000000008</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1272">
        <v>99</v>
      </c>
      <c r="B111" s="9"/>
      <c r="C111" s="9"/>
      <c r="D111" s="2952" t="s">
        <v>3068</v>
      </c>
      <c r="E111" s="16">
        <f t="shared" si="7"/>
        <v>1</v>
      </c>
      <c r="F111" s="44"/>
      <c r="G111" s="37">
        <f t="shared" si="36"/>
        <v>8.8800000000000008</v>
      </c>
      <c r="H111" s="38">
        <f t="shared" si="37"/>
        <v>8.8800000000000008</v>
      </c>
      <c r="I111" s="2956">
        <v>8.8800000000000008</v>
      </c>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99</v>
      </c>
      <c r="AW111" s="1795">
        <f t="shared" si="12"/>
        <v>0</v>
      </c>
      <c r="AX111" s="1795">
        <f t="shared" si="13"/>
        <v>0</v>
      </c>
      <c r="AY111" s="42">
        <f t="shared" si="39"/>
        <v>1</v>
      </c>
      <c r="AZ111" s="35">
        <f t="shared" si="40"/>
        <v>8.8800000000000008</v>
      </c>
      <c r="BA111" s="35">
        <f t="shared" si="41"/>
        <v>8.8800000000000008</v>
      </c>
      <c r="BB111" s="35">
        <f t="shared" si="42"/>
        <v>8.8800000000000008</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1272">
        <v>100</v>
      </c>
      <c r="B112" s="9"/>
      <c r="C112" s="9"/>
      <c r="D112" s="2952" t="s">
        <v>3068</v>
      </c>
      <c r="E112" s="16">
        <f t="shared" si="7"/>
        <v>2.46</v>
      </c>
      <c r="F112" s="44"/>
      <c r="G112" s="37">
        <f t="shared" si="36"/>
        <v>21.94</v>
      </c>
      <c r="H112" s="38">
        <f t="shared" si="37"/>
        <v>21.94</v>
      </c>
      <c r="I112" s="2956">
        <v>21.94</v>
      </c>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100</v>
      </c>
      <c r="AW112" s="1795">
        <f t="shared" si="12"/>
        <v>0</v>
      </c>
      <c r="AX112" s="1795">
        <f t="shared" si="13"/>
        <v>0</v>
      </c>
      <c r="AY112" s="42">
        <f t="shared" si="39"/>
        <v>2.46</v>
      </c>
      <c r="AZ112" s="35">
        <f t="shared" si="40"/>
        <v>21.94</v>
      </c>
      <c r="BA112" s="35">
        <f t="shared" si="41"/>
        <v>21.94</v>
      </c>
      <c r="BB112" s="35">
        <f t="shared" si="42"/>
        <v>21.94</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1272">
        <v>101</v>
      </c>
      <c r="B113" s="34"/>
      <c r="C113" s="34"/>
      <c r="D113" s="2952" t="s">
        <v>3068</v>
      </c>
      <c r="E113" s="16">
        <f t="shared" ref="E113:E144" si="61">IF($C$3="是",ROUND($A$3*G113/$B$3,2),ROUND($A$3*(G113-AT113)/$B$3,2))</f>
        <v>2.59</v>
      </c>
      <c r="F113" s="36"/>
      <c r="G113" s="37">
        <f t="shared" si="36"/>
        <v>23.07</v>
      </c>
      <c r="H113" s="38">
        <f t="shared" si="37"/>
        <v>23.07</v>
      </c>
      <c r="I113" s="2956">
        <v>23.07</v>
      </c>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101</v>
      </c>
      <c r="AW113" s="1795">
        <f t="shared" ref="AW113:AW144" si="63">B113</f>
        <v>0</v>
      </c>
      <c r="AX113" s="1795">
        <f t="shared" ref="AX113:AX144" si="64">C113</f>
        <v>0</v>
      </c>
      <c r="AY113" s="42">
        <f t="shared" si="39"/>
        <v>2.59</v>
      </c>
      <c r="AZ113" s="35">
        <f t="shared" si="40"/>
        <v>23.07</v>
      </c>
      <c r="BA113" s="35">
        <f t="shared" si="41"/>
        <v>23.07</v>
      </c>
      <c r="BB113" s="35">
        <f t="shared" si="42"/>
        <v>23.07</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1272">
        <v>102</v>
      </c>
      <c r="B114" s="34"/>
      <c r="C114" s="34"/>
      <c r="D114" s="2952" t="s">
        <v>3068</v>
      </c>
      <c r="E114" s="16">
        <f t="shared" si="61"/>
        <v>1.51</v>
      </c>
      <c r="F114" s="36"/>
      <c r="G114" s="37">
        <f t="shared" si="36"/>
        <v>13.43</v>
      </c>
      <c r="H114" s="38">
        <f t="shared" si="37"/>
        <v>13.43</v>
      </c>
      <c r="I114" s="2956">
        <v>13.43</v>
      </c>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102</v>
      </c>
      <c r="AW114" s="1795">
        <f t="shared" si="63"/>
        <v>0</v>
      </c>
      <c r="AX114" s="1795">
        <f t="shared" si="64"/>
        <v>0</v>
      </c>
      <c r="AY114" s="42">
        <f t="shared" si="39"/>
        <v>1.51</v>
      </c>
      <c r="AZ114" s="35">
        <f t="shared" si="40"/>
        <v>13.43</v>
      </c>
      <c r="BA114" s="35">
        <f t="shared" si="41"/>
        <v>13.43</v>
      </c>
      <c r="BB114" s="35">
        <f t="shared" si="42"/>
        <v>13.43</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1272">
        <v>103</v>
      </c>
      <c r="B115" s="34"/>
      <c r="C115" s="34"/>
      <c r="D115" s="2952" t="s">
        <v>3068</v>
      </c>
      <c r="E115" s="16">
        <f t="shared" si="61"/>
        <v>1.51</v>
      </c>
      <c r="F115" s="36"/>
      <c r="G115" s="37">
        <f t="shared" si="36"/>
        <v>13.43</v>
      </c>
      <c r="H115" s="38">
        <f t="shared" si="37"/>
        <v>13.43</v>
      </c>
      <c r="I115" s="2956">
        <v>13.43</v>
      </c>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103</v>
      </c>
      <c r="AW115" s="1795">
        <f t="shared" si="63"/>
        <v>0</v>
      </c>
      <c r="AX115" s="1795">
        <f t="shared" si="64"/>
        <v>0</v>
      </c>
      <c r="AY115" s="42">
        <f t="shared" si="39"/>
        <v>1.51</v>
      </c>
      <c r="AZ115" s="35">
        <f t="shared" si="40"/>
        <v>13.43</v>
      </c>
      <c r="BA115" s="35">
        <f t="shared" si="41"/>
        <v>13.43</v>
      </c>
      <c r="BB115" s="35">
        <f t="shared" si="42"/>
        <v>13.43</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1272">
        <v>104</v>
      </c>
      <c r="B116" s="34"/>
      <c r="C116" s="34"/>
      <c r="D116" s="2952" t="s">
        <v>3068</v>
      </c>
      <c r="E116" s="16">
        <f t="shared" si="61"/>
        <v>3.87</v>
      </c>
      <c r="F116" s="36"/>
      <c r="G116" s="37">
        <f t="shared" si="36"/>
        <v>34.51</v>
      </c>
      <c r="H116" s="38">
        <f t="shared" si="37"/>
        <v>34.51</v>
      </c>
      <c r="I116" s="2956">
        <v>34.51</v>
      </c>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104</v>
      </c>
      <c r="AW116" s="1795">
        <f t="shared" si="63"/>
        <v>0</v>
      </c>
      <c r="AX116" s="1795">
        <f t="shared" si="64"/>
        <v>0</v>
      </c>
      <c r="AY116" s="42">
        <f t="shared" si="39"/>
        <v>3.87</v>
      </c>
      <c r="AZ116" s="35">
        <f t="shared" si="40"/>
        <v>34.51</v>
      </c>
      <c r="BA116" s="35">
        <f t="shared" si="41"/>
        <v>34.51</v>
      </c>
      <c r="BB116" s="35">
        <f t="shared" si="42"/>
        <v>34.51</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1272">
        <v>105</v>
      </c>
      <c r="B117" s="34"/>
      <c r="C117" s="34"/>
      <c r="D117" s="2952" t="s">
        <v>3068</v>
      </c>
      <c r="E117" s="16">
        <f t="shared" si="61"/>
        <v>1.57</v>
      </c>
      <c r="F117" s="36"/>
      <c r="G117" s="37">
        <f t="shared" si="36"/>
        <v>13.99</v>
      </c>
      <c r="H117" s="38">
        <f t="shared" si="37"/>
        <v>13.99</v>
      </c>
      <c r="I117" s="2956">
        <v>13.99</v>
      </c>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105</v>
      </c>
      <c r="AW117" s="1795">
        <f t="shared" si="63"/>
        <v>0</v>
      </c>
      <c r="AX117" s="1795">
        <f t="shared" si="64"/>
        <v>0</v>
      </c>
      <c r="AY117" s="42">
        <f t="shared" si="39"/>
        <v>1.57</v>
      </c>
      <c r="AZ117" s="35">
        <f t="shared" si="40"/>
        <v>13.99</v>
      </c>
      <c r="BA117" s="35">
        <f t="shared" si="41"/>
        <v>13.99</v>
      </c>
      <c r="BB117" s="35">
        <f t="shared" si="42"/>
        <v>13.99</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1272">
        <v>106</v>
      </c>
      <c r="B118" s="34"/>
      <c r="C118" s="34"/>
      <c r="D118" s="2952" t="s">
        <v>3068</v>
      </c>
      <c r="E118" s="16">
        <f t="shared" si="61"/>
        <v>1.57</v>
      </c>
      <c r="F118" s="36"/>
      <c r="G118" s="37">
        <f t="shared" si="36"/>
        <v>13.99</v>
      </c>
      <c r="H118" s="38">
        <f t="shared" si="37"/>
        <v>13.99</v>
      </c>
      <c r="I118" s="2956">
        <v>13.99</v>
      </c>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106</v>
      </c>
      <c r="AW118" s="1795">
        <f t="shared" si="63"/>
        <v>0</v>
      </c>
      <c r="AX118" s="1795">
        <f t="shared" si="64"/>
        <v>0</v>
      </c>
      <c r="AY118" s="42">
        <f t="shared" si="39"/>
        <v>1.57</v>
      </c>
      <c r="AZ118" s="35">
        <f t="shared" si="40"/>
        <v>13.99</v>
      </c>
      <c r="BA118" s="35">
        <f t="shared" si="41"/>
        <v>13.99</v>
      </c>
      <c r="BB118" s="35">
        <f t="shared" si="42"/>
        <v>13.99</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1272">
        <v>107</v>
      </c>
      <c r="B119" s="34"/>
      <c r="C119" s="34"/>
      <c r="D119" s="2952" t="s">
        <v>3068</v>
      </c>
      <c r="E119" s="16">
        <f t="shared" si="61"/>
        <v>1.57</v>
      </c>
      <c r="F119" s="36"/>
      <c r="G119" s="37">
        <f t="shared" si="36"/>
        <v>13.99</v>
      </c>
      <c r="H119" s="38">
        <f t="shared" si="37"/>
        <v>13.99</v>
      </c>
      <c r="I119" s="2956">
        <v>13.99</v>
      </c>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107</v>
      </c>
      <c r="AW119" s="1795">
        <f t="shared" si="63"/>
        <v>0</v>
      </c>
      <c r="AX119" s="1795">
        <f t="shared" si="64"/>
        <v>0</v>
      </c>
      <c r="AY119" s="42">
        <f t="shared" si="39"/>
        <v>1.57</v>
      </c>
      <c r="AZ119" s="35">
        <f t="shared" si="40"/>
        <v>13.99</v>
      </c>
      <c r="BA119" s="35">
        <f t="shared" si="41"/>
        <v>13.99</v>
      </c>
      <c r="BB119" s="35">
        <f t="shared" si="42"/>
        <v>13.99</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1272">
        <v>108</v>
      </c>
      <c r="B120" s="34"/>
      <c r="C120" s="34"/>
      <c r="D120" s="2952" t="s">
        <v>3068</v>
      </c>
      <c r="E120" s="16">
        <f t="shared" si="61"/>
        <v>1.57</v>
      </c>
      <c r="F120" s="36"/>
      <c r="G120" s="37">
        <f t="shared" si="36"/>
        <v>13.99</v>
      </c>
      <c r="H120" s="38">
        <f t="shared" si="37"/>
        <v>13.99</v>
      </c>
      <c r="I120" s="2956">
        <v>13.99</v>
      </c>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108</v>
      </c>
      <c r="AW120" s="1795">
        <f t="shared" si="63"/>
        <v>0</v>
      </c>
      <c r="AX120" s="1795">
        <f t="shared" si="64"/>
        <v>0</v>
      </c>
      <c r="AY120" s="42">
        <f t="shared" si="39"/>
        <v>1.57</v>
      </c>
      <c r="AZ120" s="35">
        <f t="shared" si="40"/>
        <v>13.99</v>
      </c>
      <c r="BA120" s="35">
        <f t="shared" si="41"/>
        <v>13.99</v>
      </c>
      <c r="BB120" s="35">
        <f t="shared" si="42"/>
        <v>13.99</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1272">
        <v>109</v>
      </c>
      <c r="B121" s="34"/>
      <c r="C121" s="34"/>
      <c r="D121" s="2952" t="s">
        <v>3068</v>
      </c>
      <c r="E121" s="16">
        <f t="shared" si="61"/>
        <v>2</v>
      </c>
      <c r="F121" s="36"/>
      <c r="G121" s="37">
        <f t="shared" si="36"/>
        <v>17.850000000000001</v>
      </c>
      <c r="H121" s="38">
        <f t="shared" si="37"/>
        <v>17.850000000000001</v>
      </c>
      <c r="I121" s="2956">
        <v>17.850000000000001</v>
      </c>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109</v>
      </c>
      <c r="AW121" s="1795">
        <f t="shared" si="63"/>
        <v>0</v>
      </c>
      <c r="AX121" s="1795">
        <f t="shared" si="64"/>
        <v>0</v>
      </c>
      <c r="AY121" s="42">
        <f t="shared" si="39"/>
        <v>2</v>
      </c>
      <c r="AZ121" s="35">
        <f t="shared" si="40"/>
        <v>17.850000000000001</v>
      </c>
      <c r="BA121" s="35">
        <f t="shared" si="41"/>
        <v>17.850000000000001</v>
      </c>
      <c r="BB121" s="35">
        <f t="shared" si="42"/>
        <v>17.850000000000001</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1272">
        <v>110</v>
      </c>
      <c r="B122" s="34"/>
      <c r="C122" s="34"/>
      <c r="D122" s="2952" t="s">
        <v>3068</v>
      </c>
      <c r="E122" s="16">
        <f t="shared" si="61"/>
        <v>1.1100000000000001</v>
      </c>
      <c r="F122" s="36"/>
      <c r="G122" s="37">
        <f t="shared" si="36"/>
        <v>9.86</v>
      </c>
      <c r="H122" s="38">
        <f t="shared" si="37"/>
        <v>9.86</v>
      </c>
      <c r="I122" s="2956">
        <v>9.86</v>
      </c>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110</v>
      </c>
      <c r="AW122" s="1795">
        <f t="shared" si="63"/>
        <v>0</v>
      </c>
      <c r="AX122" s="1795">
        <f t="shared" si="64"/>
        <v>0</v>
      </c>
      <c r="AY122" s="42">
        <f t="shared" si="39"/>
        <v>1.1100000000000001</v>
      </c>
      <c r="AZ122" s="35">
        <f t="shared" si="40"/>
        <v>9.86</v>
      </c>
      <c r="BA122" s="35">
        <f t="shared" si="41"/>
        <v>9.86</v>
      </c>
      <c r="BB122" s="35">
        <f t="shared" si="42"/>
        <v>9.86</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1272">
        <v>111</v>
      </c>
      <c r="B123" s="34"/>
      <c r="C123" s="34"/>
      <c r="D123" s="2952" t="s">
        <v>3068</v>
      </c>
      <c r="E123" s="16">
        <f t="shared" si="61"/>
        <v>1.1100000000000001</v>
      </c>
      <c r="F123" s="36"/>
      <c r="G123" s="37">
        <f t="shared" si="36"/>
        <v>9.86</v>
      </c>
      <c r="H123" s="38">
        <f t="shared" si="37"/>
        <v>9.86</v>
      </c>
      <c r="I123" s="2954">
        <v>9.86</v>
      </c>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111</v>
      </c>
      <c r="AW123" s="1795">
        <f t="shared" si="63"/>
        <v>0</v>
      </c>
      <c r="AX123" s="1795">
        <f t="shared" si="64"/>
        <v>0</v>
      </c>
      <c r="AY123" s="42">
        <f t="shared" si="39"/>
        <v>1.1100000000000001</v>
      </c>
      <c r="AZ123" s="35">
        <f t="shared" si="40"/>
        <v>9.86</v>
      </c>
      <c r="BA123" s="35">
        <f t="shared" si="41"/>
        <v>9.86</v>
      </c>
      <c r="BB123" s="35">
        <f t="shared" si="42"/>
        <v>9.86</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1272">
        <v>112</v>
      </c>
      <c r="B124" s="34"/>
      <c r="C124" s="34"/>
      <c r="D124" s="2952" t="s">
        <v>3068</v>
      </c>
      <c r="E124" s="16">
        <f t="shared" si="61"/>
        <v>1.1100000000000001</v>
      </c>
      <c r="F124" s="36"/>
      <c r="G124" s="37">
        <f t="shared" si="36"/>
        <v>9.86</v>
      </c>
      <c r="H124" s="38">
        <f t="shared" si="37"/>
        <v>9.86</v>
      </c>
      <c r="I124" s="2954">
        <v>9.86</v>
      </c>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112</v>
      </c>
      <c r="AW124" s="1795">
        <f t="shared" si="63"/>
        <v>0</v>
      </c>
      <c r="AX124" s="1795">
        <f t="shared" si="64"/>
        <v>0</v>
      </c>
      <c r="AY124" s="42">
        <f t="shared" si="39"/>
        <v>1.1100000000000001</v>
      </c>
      <c r="AZ124" s="35">
        <f t="shared" si="40"/>
        <v>9.86</v>
      </c>
      <c r="BA124" s="35">
        <f t="shared" si="41"/>
        <v>9.86</v>
      </c>
      <c r="BB124" s="35">
        <f t="shared" si="42"/>
        <v>9.86</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1272">
        <v>113</v>
      </c>
      <c r="B125" s="34"/>
      <c r="C125" s="34"/>
      <c r="D125" s="2952" t="s">
        <v>3068</v>
      </c>
      <c r="E125" s="16">
        <f t="shared" si="61"/>
        <v>1.1100000000000001</v>
      </c>
      <c r="F125" s="36"/>
      <c r="G125" s="37">
        <f t="shared" si="36"/>
        <v>9.86</v>
      </c>
      <c r="H125" s="38">
        <f t="shared" si="37"/>
        <v>9.86</v>
      </c>
      <c r="I125" s="2954">
        <v>9.86</v>
      </c>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113</v>
      </c>
      <c r="AW125" s="1795">
        <f t="shared" si="63"/>
        <v>0</v>
      </c>
      <c r="AX125" s="1795">
        <f t="shared" si="64"/>
        <v>0</v>
      </c>
      <c r="AY125" s="42">
        <f t="shared" si="39"/>
        <v>1.1100000000000001</v>
      </c>
      <c r="AZ125" s="35">
        <f t="shared" si="40"/>
        <v>9.86</v>
      </c>
      <c r="BA125" s="35">
        <f t="shared" si="41"/>
        <v>9.86</v>
      </c>
      <c r="BB125" s="35">
        <f t="shared" si="42"/>
        <v>9.86</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1272">
        <v>114</v>
      </c>
      <c r="B126" s="34"/>
      <c r="C126" s="34"/>
      <c r="D126" s="2952" t="s">
        <v>3068</v>
      </c>
      <c r="E126" s="16">
        <f t="shared" si="61"/>
        <v>1.1100000000000001</v>
      </c>
      <c r="F126" s="36"/>
      <c r="G126" s="37">
        <f t="shared" si="36"/>
        <v>9.86</v>
      </c>
      <c r="H126" s="38">
        <f t="shared" si="37"/>
        <v>9.86</v>
      </c>
      <c r="I126" s="2954">
        <v>9.86</v>
      </c>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114</v>
      </c>
      <c r="AW126" s="1795">
        <f t="shared" si="63"/>
        <v>0</v>
      </c>
      <c r="AX126" s="1795">
        <f t="shared" si="64"/>
        <v>0</v>
      </c>
      <c r="AY126" s="42">
        <f t="shared" si="39"/>
        <v>1.1100000000000001</v>
      </c>
      <c r="AZ126" s="35">
        <f t="shared" si="40"/>
        <v>9.86</v>
      </c>
      <c r="BA126" s="35">
        <f t="shared" si="41"/>
        <v>9.86</v>
      </c>
      <c r="BB126" s="35">
        <f t="shared" si="42"/>
        <v>9.86</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1272">
        <v>115</v>
      </c>
      <c r="B127" s="34"/>
      <c r="C127" s="34"/>
      <c r="D127" s="2952" t="s">
        <v>3068</v>
      </c>
      <c r="E127" s="16">
        <f t="shared" si="61"/>
        <v>1.1100000000000001</v>
      </c>
      <c r="F127" s="36"/>
      <c r="G127" s="37">
        <f t="shared" si="36"/>
        <v>9.86</v>
      </c>
      <c r="H127" s="38">
        <f t="shared" si="37"/>
        <v>9.86</v>
      </c>
      <c r="I127" s="2954">
        <v>9.86</v>
      </c>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115</v>
      </c>
      <c r="AW127" s="1795">
        <f t="shared" si="63"/>
        <v>0</v>
      </c>
      <c r="AX127" s="1795">
        <f t="shared" si="64"/>
        <v>0</v>
      </c>
      <c r="AY127" s="42">
        <f t="shared" si="39"/>
        <v>1.1100000000000001</v>
      </c>
      <c r="AZ127" s="35">
        <f t="shared" si="40"/>
        <v>9.86</v>
      </c>
      <c r="BA127" s="35">
        <f t="shared" si="41"/>
        <v>9.86</v>
      </c>
      <c r="BB127" s="35">
        <f t="shared" si="42"/>
        <v>9.86</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1272">
        <v>116</v>
      </c>
      <c r="B128" s="34"/>
      <c r="C128" s="34"/>
      <c r="D128" s="2952" t="s">
        <v>3068</v>
      </c>
      <c r="E128" s="16">
        <f t="shared" si="61"/>
        <v>1.1100000000000001</v>
      </c>
      <c r="F128" s="36"/>
      <c r="G128" s="37">
        <f t="shared" si="36"/>
        <v>9.86</v>
      </c>
      <c r="H128" s="38">
        <f t="shared" si="37"/>
        <v>9.86</v>
      </c>
      <c r="I128" s="2954">
        <v>9.86</v>
      </c>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116</v>
      </c>
      <c r="AW128" s="1795">
        <f t="shared" si="63"/>
        <v>0</v>
      </c>
      <c r="AX128" s="1795">
        <f t="shared" si="64"/>
        <v>0</v>
      </c>
      <c r="AY128" s="42">
        <f t="shared" si="39"/>
        <v>1.1100000000000001</v>
      </c>
      <c r="AZ128" s="35">
        <f t="shared" si="40"/>
        <v>9.86</v>
      </c>
      <c r="BA128" s="35">
        <f t="shared" si="41"/>
        <v>9.86</v>
      </c>
      <c r="BB128" s="35">
        <f t="shared" si="42"/>
        <v>9.86</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1272">
        <v>117</v>
      </c>
      <c r="B129" s="34"/>
      <c r="C129" s="34"/>
      <c r="D129" s="2952" t="s">
        <v>3068</v>
      </c>
      <c r="E129" s="16">
        <f t="shared" si="61"/>
        <v>1.1100000000000001</v>
      </c>
      <c r="F129" s="36"/>
      <c r="G129" s="37">
        <f t="shared" si="36"/>
        <v>9.86</v>
      </c>
      <c r="H129" s="38">
        <f t="shared" si="37"/>
        <v>9.86</v>
      </c>
      <c r="I129" s="2954">
        <v>9.86</v>
      </c>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117</v>
      </c>
      <c r="AW129" s="1795">
        <f t="shared" si="63"/>
        <v>0</v>
      </c>
      <c r="AX129" s="1795">
        <f t="shared" si="64"/>
        <v>0</v>
      </c>
      <c r="AY129" s="42">
        <f t="shared" si="39"/>
        <v>1.1100000000000001</v>
      </c>
      <c r="AZ129" s="35">
        <f t="shared" si="40"/>
        <v>9.86</v>
      </c>
      <c r="BA129" s="35">
        <f t="shared" si="41"/>
        <v>9.86</v>
      </c>
      <c r="BB129" s="35">
        <f t="shared" si="42"/>
        <v>9.86</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1272">
        <v>118</v>
      </c>
      <c r="B130" s="34"/>
      <c r="C130" s="34"/>
      <c r="D130" s="2952" t="s">
        <v>3068</v>
      </c>
      <c r="E130" s="16">
        <f t="shared" si="61"/>
        <v>1.1100000000000001</v>
      </c>
      <c r="F130" s="36"/>
      <c r="G130" s="37">
        <f t="shared" si="36"/>
        <v>9.86</v>
      </c>
      <c r="H130" s="38">
        <f t="shared" si="37"/>
        <v>9.86</v>
      </c>
      <c r="I130" s="2954">
        <v>9.86</v>
      </c>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118</v>
      </c>
      <c r="AW130" s="1795">
        <f t="shared" si="63"/>
        <v>0</v>
      </c>
      <c r="AX130" s="1795">
        <f t="shared" si="64"/>
        <v>0</v>
      </c>
      <c r="AY130" s="42">
        <f t="shared" si="39"/>
        <v>1.1100000000000001</v>
      </c>
      <c r="AZ130" s="35">
        <f t="shared" si="40"/>
        <v>9.86</v>
      </c>
      <c r="BA130" s="35">
        <f t="shared" si="41"/>
        <v>9.86</v>
      </c>
      <c r="BB130" s="35">
        <f t="shared" si="42"/>
        <v>9.86</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1272">
        <v>119</v>
      </c>
      <c r="B131" s="34"/>
      <c r="C131" s="34"/>
      <c r="D131" s="2952" t="s">
        <v>3068</v>
      </c>
      <c r="E131" s="16">
        <f t="shared" si="61"/>
        <v>1.1100000000000001</v>
      </c>
      <c r="F131" s="36"/>
      <c r="G131" s="37">
        <f t="shared" si="36"/>
        <v>9.86</v>
      </c>
      <c r="H131" s="38">
        <f t="shared" si="37"/>
        <v>9.86</v>
      </c>
      <c r="I131" s="2954">
        <v>9.86</v>
      </c>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119</v>
      </c>
      <c r="AW131" s="1795">
        <f t="shared" si="63"/>
        <v>0</v>
      </c>
      <c r="AX131" s="1795">
        <f t="shared" si="64"/>
        <v>0</v>
      </c>
      <c r="AY131" s="42">
        <f t="shared" si="39"/>
        <v>1.1100000000000001</v>
      </c>
      <c r="AZ131" s="35">
        <f t="shared" si="40"/>
        <v>9.86</v>
      </c>
      <c r="BA131" s="35">
        <f t="shared" si="41"/>
        <v>9.86</v>
      </c>
      <c r="BB131" s="35">
        <f t="shared" si="42"/>
        <v>9.86</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1272">
        <v>120</v>
      </c>
      <c r="B132" s="34"/>
      <c r="C132" s="34"/>
      <c r="D132" s="2952" t="s">
        <v>3068</v>
      </c>
      <c r="E132" s="16">
        <f t="shared" si="61"/>
        <v>1.1100000000000001</v>
      </c>
      <c r="F132" s="36"/>
      <c r="G132" s="37">
        <f t="shared" si="36"/>
        <v>9.86</v>
      </c>
      <c r="H132" s="38">
        <f t="shared" si="37"/>
        <v>9.86</v>
      </c>
      <c r="I132" s="2954">
        <v>9.86</v>
      </c>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120</v>
      </c>
      <c r="AW132" s="1795">
        <f t="shared" si="63"/>
        <v>0</v>
      </c>
      <c r="AX132" s="1795">
        <f t="shared" si="64"/>
        <v>0</v>
      </c>
      <c r="AY132" s="42">
        <f t="shared" si="39"/>
        <v>1.1100000000000001</v>
      </c>
      <c r="AZ132" s="35">
        <f t="shared" si="40"/>
        <v>9.86</v>
      </c>
      <c r="BA132" s="35">
        <f t="shared" si="41"/>
        <v>9.86</v>
      </c>
      <c r="BB132" s="35">
        <f t="shared" si="42"/>
        <v>9.86</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1272">
        <v>121</v>
      </c>
      <c r="B133" s="34"/>
      <c r="C133" s="34"/>
      <c r="D133" s="2952" t="s">
        <v>3068</v>
      </c>
      <c r="E133" s="16">
        <f t="shared" si="61"/>
        <v>1.1100000000000001</v>
      </c>
      <c r="F133" s="36"/>
      <c r="G133" s="37">
        <f t="shared" si="36"/>
        <v>9.86</v>
      </c>
      <c r="H133" s="38">
        <f t="shared" si="37"/>
        <v>9.86</v>
      </c>
      <c r="I133" s="2954">
        <v>9.86</v>
      </c>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121</v>
      </c>
      <c r="AW133" s="1795">
        <f t="shared" si="63"/>
        <v>0</v>
      </c>
      <c r="AX133" s="1795">
        <f t="shared" si="64"/>
        <v>0</v>
      </c>
      <c r="AY133" s="42">
        <f t="shared" si="39"/>
        <v>1.1100000000000001</v>
      </c>
      <c r="AZ133" s="35">
        <f t="shared" si="40"/>
        <v>9.86</v>
      </c>
      <c r="BA133" s="35">
        <f t="shared" si="41"/>
        <v>9.86</v>
      </c>
      <c r="BB133" s="35">
        <f t="shared" si="42"/>
        <v>9.86</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1272">
        <v>122</v>
      </c>
      <c r="B134" s="34"/>
      <c r="C134" s="34"/>
      <c r="D134" s="2952" t="s">
        <v>3068</v>
      </c>
      <c r="E134" s="16">
        <f t="shared" si="61"/>
        <v>1.1100000000000001</v>
      </c>
      <c r="F134" s="36"/>
      <c r="G134" s="37">
        <f t="shared" si="36"/>
        <v>9.86</v>
      </c>
      <c r="H134" s="38">
        <f t="shared" si="37"/>
        <v>9.86</v>
      </c>
      <c r="I134" s="2954">
        <v>9.86</v>
      </c>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122</v>
      </c>
      <c r="AW134" s="1795">
        <f t="shared" si="63"/>
        <v>0</v>
      </c>
      <c r="AX134" s="1795">
        <f t="shared" si="64"/>
        <v>0</v>
      </c>
      <c r="AY134" s="42">
        <f t="shared" si="39"/>
        <v>1.1100000000000001</v>
      </c>
      <c r="AZ134" s="35">
        <f t="shared" si="40"/>
        <v>9.86</v>
      </c>
      <c r="BA134" s="35">
        <f t="shared" si="41"/>
        <v>9.86</v>
      </c>
      <c r="BB134" s="35">
        <f t="shared" si="42"/>
        <v>9.86</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1272">
        <v>123</v>
      </c>
      <c r="B135" s="34"/>
      <c r="C135" s="34"/>
      <c r="D135" s="2952" t="s">
        <v>3068</v>
      </c>
      <c r="E135" s="16">
        <f t="shared" si="61"/>
        <v>1.1100000000000001</v>
      </c>
      <c r="F135" s="36"/>
      <c r="G135" s="37">
        <f t="shared" si="36"/>
        <v>9.86</v>
      </c>
      <c r="H135" s="38">
        <f t="shared" si="37"/>
        <v>9.86</v>
      </c>
      <c r="I135" s="2954">
        <v>9.86</v>
      </c>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123</v>
      </c>
      <c r="AW135" s="1795">
        <f t="shared" si="63"/>
        <v>0</v>
      </c>
      <c r="AX135" s="1795">
        <f t="shared" si="64"/>
        <v>0</v>
      </c>
      <c r="AY135" s="42">
        <f t="shared" si="39"/>
        <v>1.1100000000000001</v>
      </c>
      <c r="AZ135" s="35">
        <f t="shared" si="40"/>
        <v>9.86</v>
      </c>
      <c r="BA135" s="35">
        <f t="shared" si="41"/>
        <v>9.86</v>
      </c>
      <c r="BB135" s="35">
        <f t="shared" si="42"/>
        <v>9.86</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1272">
        <v>124</v>
      </c>
      <c r="B136" s="34"/>
      <c r="C136" s="34"/>
      <c r="D136" s="2952" t="s">
        <v>3068</v>
      </c>
      <c r="E136" s="16">
        <f t="shared" si="61"/>
        <v>1.1100000000000001</v>
      </c>
      <c r="F136" s="36"/>
      <c r="G136" s="37">
        <f t="shared" si="36"/>
        <v>9.86</v>
      </c>
      <c r="H136" s="38">
        <f t="shared" si="37"/>
        <v>9.86</v>
      </c>
      <c r="I136" s="2954">
        <v>9.86</v>
      </c>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124</v>
      </c>
      <c r="AW136" s="1795">
        <f t="shared" si="63"/>
        <v>0</v>
      </c>
      <c r="AX136" s="1795">
        <f t="shared" si="64"/>
        <v>0</v>
      </c>
      <c r="AY136" s="42">
        <f t="shared" si="39"/>
        <v>1.1100000000000001</v>
      </c>
      <c r="AZ136" s="35">
        <f t="shared" si="40"/>
        <v>9.86</v>
      </c>
      <c r="BA136" s="35">
        <f t="shared" si="41"/>
        <v>9.86</v>
      </c>
      <c r="BB136" s="35">
        <f t="shared" si="42"/>
        <v>9.86</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1272">
        <v>125</v>
      </c>
      <c r="B137" s="34"/>
      <c r="C137" s="34"/>
      <c r="D137" s="2952" t="s">
        <v>3068</v>
      </c>
      <c r="E137" s="16">
        <f t="shared" si="61"/>
        <v>1.18</v>
      </c>
      <c r="F137" s="36"/>
      <c r="G137" s="37">
        <f t="shared" si="36"/>
        <v>10.55</v>
      </c>
      <c r="H137" s="38">
        <f t="shared" si="37"/>
        <v>10.55</v>
      </c>
      <c r="I137" s="2954">
        <v>10.55</v>
      </c>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125</v>
      </c>
      <c r="AW137" s="1795">
        <f t="shared" si="63"/>
        <v>0</v>
      </c>
      <c r="AX137" s="1795">
        <f t="shared" si="64"/>
        <v>0</v>
      </c>
      <c r="AY137" s="42">
        <f t="shared" si="39"/>
        <v>1.18</v>
      </c>
      <c r="AZ137" s="35">
        <f t="shared" si="40"/>
        <v>10.55</v>
      </c>
      <c r="BA137" s="35">
        <f t="shared" si="41"/>
        <v>10.55</v>
      </c>
      <c r="BB137" s="35">
        <f t="shared" si="42"/>
        <v>10.55</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1272">
        <v>126</v>
      </c>
      <c r="B138" s="34"/>
      <c r="C138" s="34"/>
      <c r="D138" s="2952" t="s">
        <v>3068</v>
      </c>
      <c r="E138" s="16">
        <f t="shared" si="61"/>
        <v>1.1200000000000001</v>
      </c>
      <c r="F138" s="36"/>
      <c r="G138" s="37">
        <f t="shared" si="36"/>
        <v>9.99</v>
      </c>
      <c r="H138" s="38">
        <f t="shared" si="37"/>
        <v>9.99</v>
      </c>
      <c r="I138" s="2954">
        <v>9.99</v>
      </c>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126</v>
      </c>
      <c r="AW138" s="1795">
        <f t="shared" si="63"/>
        <v>0</v>
      </c>
      <c r="AX138" s="1795">
        <f t="shared" si="64"/>
        <v>0</v>
      </c>
      <c r="AY138" s="42">
        <f t="shared" si="39"/>
        <v>1.1200000000000001</v>
      </c>
      <c r="AZ138" s="35">
        <f t="shared" si="40"/>
        <v>9.99</v>
      </c>
      <c r="BA138" s="35">
        <f t="shared" si="41"/>
        <v>9.99</v>
      </c>
      <c r="BB138" s="35">
        <f t="shared" si="42"/>
        <v>9.99</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1272">
        <v>127</v>
      </c>
      <c r="B139" s="34"/>
      <c r="C139" s="34"/>
      <c r="D139" s="2952" t="s">
        <v>3068</v>
      </c>
      <c r="E139" s="16">
        <f t="shared" si="61"/>
        <v>1.1200000000000001</v>
      </c>
      <c r="F139" s="36"/>
      <c r="G139" s="37">
        <f t="shared" si="36"/>
        <v>9.99</v>
      </c>
      <c r="H139" s="38">
        <f t="shared" si="37"/>
        <v>9.99</v>
      </c>
      <c r="I139" s="2954">
        <v>9.99</v>
      </c>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127</v>
      </c>
      <c r="AW139" s="1795">
        <f t="shared" si="63"/>
        <v>0</v>
      </c>
      <c r="AX139" s="1795">
        <f t="shared" si="64"/>
        <v>0</v>
      </c>
      <c r="AY139" s="42">
        <f t="shared" si="39"/>
        <v>1.1200000000000001</v>
      </c>
      <c r="AZ139" s="35">
        <f t="shared" si="40"/>
        <v>9.99</v>
      </c>
      <c r="BA139" s="35">
        <f t="shared" si="41"/>
        <v>9.99</v>
      </c>
      <c r="BB139" s="35">
        <f t="shared" si="42"/>
        <v>9.99</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1272">
        <v>128</v>
      </c>
      <c r="B140" s="34"/>
      <c r="C140" s="34"/>
      <c r="D140" s="2952" t="s">
        <v>3068</v>
      </c>
      <c r="E140" s="16">
        <f t="shared" si="61"/>
        <v>1.24</v>
      </c>
      <c r="F140" s="36"/>
      <c r="G140" s="37">
        <f t="shared" si="36"/>
        <v>11.1</v>
      </c>
      <c r="H140" s="38">
        <f t="shared" si="37"/>
        <v>11.1</v>
      </c>
      <c r="I140" s="2954">
        <v>11.1</v>
      </c>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128</v>
      </c>
      <c r="AW140" s="1795">
        <f t="shared" si="63"/>
        <v>0</v>
      </c>
      <c r="AX140" s="1795">
        <f t="shared" si="64"/>
        <v>0</v>
      </c>
      <c r="AY140" s="42">
        <f t="shared" si="39"/>
        <v>1.24</v>
      </c>
      <c r="AZ140" s="35">
        <f t="shared" si="40"/>
        <v>11.1</v>
      </c>
      <c r="BA140" s="35">
        <f t="shared" si="41"/>
        <v>11.1</v>
      </c>
      <c r="BB140" s="35">
        <f t="shared" si="42"/>
        <v>11.1</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1272">
        <v>129</v>
      </c>
      <c r="B141" s="34"/>
      <c r="C141" s="34"/>
      <c r="D141" s="2952" t="s">
        <v>3068</v>
      </c>
      <c r="E141" s="16">
        <f t="shared" si="61"/>
        <v>1.24</v>
      </c>
      <c r="F141" s="36"/>
      <c r="G141" s="37">
        <f t="shared" si="36"/>
        <v>11.1</v>
      </c>
      <c r="H141" s="38">
        <f t="shared" si="37"/>
        <v>11.1</v>
      </c>
      <c r="I141" s="2954">
        <v>11.1</v>
      </c>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129</v>
      </c>
      <c r="AW141" s="1795">
        <f t="shared" si="63"/>
        <v>0</v>
      </c>
      <c r="AX141" s="1795">
        <f t="shared" si="64"/>
        <v>0</v>
      </c>
      <c r="AY141" s="42">
        <f t="shared" si="39"/>
        <v>1.24</v>
      </c>
      <c r="AZ141" s="35">
        <f t="shared" si="40"/>
        <v>11.1</v>
      </c>
      <c r="BA141" s="35">
        <f t="shared" si="41"/>
        <v>11.1</v>
      </c>
      <c r="BB141" s="35">
        <f t="shared" si="42"/>
        <v>11.1</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1272">
        <v>130</v>
      </c>
      <c r="B142" s="34"/>
      <c r="C142" s="34"/>
      <c r="D142" s="2952" t="s">
        <v>3068</v>
      </c>
      <c r="E142" s="16">
        <f t="shared" si="61"/>
        <v>1.1200000000000001</v>
      </c>
      <c r="F142" s="36"/>
      <c r="G142" s="37">
        <f t="shared" ref="G142:G173" si="65">H142+AC142+AT142</f>
        <v>9.99</v>
      </c>
      <c r="H142" s="38">
        <f t="shared" ref="H142:H173" si="66">SUMIF(I$12:AB$12,"总值",I142:AB142)</f>
        <v>9.99</v>
      </c>
      <c r="I142" s="2954">
        <v>9.99</v>
      </c>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130</v>
      </c>
      <c r="AW142" s="1795">
        <f t="shared" si="63"/>
        <v>0</v>
      </c>
      <c r="AX142" s="1795">
        <f t="shared" si="64"/>
        <v>0</v>
      </c>
      <c r="AY142" s="42">
        <f t="shared" ref="AY142:AY173" si="68">ROUND($AY$6*AZ142/$AZ$5,2)</f>
        <v>1.1200000000000001</v>
      </c>
      <c r="AZ142" s="35">
        <f t="shared" ref="AZ142:AZ173" si="69">BA142+BL142</f>
        <v>9.99</v>
      </c>
      <c r="BA142" s="35">
        <f t="shared" ref="BA142:BA173" si="70">SUM(BB142:BK142)</f>
        <v>9.99</v>
      </c>
      <c r="BB142" s="35">
        <f t="shared" ref="BB142:BB173" si="71">IF($D142="是",I142-J142,0)</f>
        <v>9.99</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1272">
        <v>131</v>
      </c>
      <c r="B143" s="34"/>
      <c r="C143" s="34"/>
      <c r="D143" s="2952" t="s">
        <v>3068</v>
      </c>
      <c r="E143" s="16">
        <f t="shared" si="61"/>
        <v>1.1200000000000001</v>
      </c>
      <c r="F143" s="36"/>
      <c r="G143" s="37">
        <f t="shared" si="65"/>
        <v>9.99</v>
      </c>
      <c r="H143" s="38">
        <f t="shared" si="66"/>
        <v>9.99</v>
      </c>
      <c r="I143" s="2954">
        <v>9.99</v>
      </c>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131</v>
      </c>
      <c r="AW143" s="1795">
        <f t="shared" si="63"/>
        <v>0</v>
      </c>
      <c r="AX143" s="1795">
        <f t="shared" si="64"/>
        <v>0</v>
      </c>
      <c r="AY143" s="42">
        <f t="shared" si="68"/>
        <v>1.1200000000000001</v>
      </c>
      <c r="AZ143" s="35">
        <f t="shared" si="69"/>
        <v>9.99</v>
      </c>
      <c r="BA143" s="35">
        <f t="shared" si="70"/>
        <v>9.99</v>
      </c>
      <c r="BB143" s="35">
        <f t="shared" si="71"/>
        <v>9.99</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1272">
        <v>132</v>
      </c>
      <c r="B144" s="34"/>
      <c r="C144" s="34"/>
      <c r="D144" s="2952" t="s">
        <v>3068</v>
      </c>
      <c r="E144" s="16">
        <f t="shared" si="61"/>
        <v>1.18</v>
      </c>
      <c r="F144" s="36"/>
      <c r="G144" s="37">
        <f t="shared" si="65"/>
        <v>10.55</v>
      </c>
      <c r="H144" s="38">
        <f t="shared" si="66"/>
        <v>10.55</v>
      </c>
      <c r="I144" s="2954">
        <v>10.55</v>
      </c>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132</v>
      </c>
      <c r="AW144" s="1795">
        <f t="shared" si="63"/>
        <v>0</v>
      </c>
      <c r="AX144" s="1795">
        <f t="shared" si="64"/>
        <v>0</v>
      </c>
      <c r="AY144" s="42">
        <f t="shared" si="68"/>
        <v>1.18</v>
      </c>
      <c r="AZ144" s="35">
        <f t="shared" si="69"/>
        <v>10.55</v>
      </c>
      <c r="BA144" s="35">
        <f t="shared" si="70"/>
        <v>10.55</v>
      </c>
      <c r="BB144" s="35">
        <f t="shared" si="71"/>
        <v>10.55</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1272">
        <v>133</v>
      </c>
      <c r="B145" s="34"/>
      <c r="C145" s="34"/>
      <c r="D145" s="2952" t="s">
        <v>3068</v>
      </c>
      <c r="E145" s="16">
        <f t="shared" ref="E145:E176" si="90">IF($C$3="是",ROUND($A$3*G145/$B$3,2),ROUND($A$3*(G145-AT145)/$B$3,2))</f>
        <v>1.22</v>
      </c>
      <c r="F145" s="36"/>
      <c r="G145" s="37">
        <f t="shared" si="65"/>
        <v>10.84</v>
      </c>
      <c r="H145" s="38">
        <f t="shared" si="66"/>
        <v>10.84</v>
      </c>
      <c r="I145" s="2954">
        <v>10.84</v>
      </c>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133</v>
      </c>
      <c r="AW145" s="1795">
        <f t="shared" ref="AW145:AW176" si="92">B145</f>
        <v>0</v>
      </c>
      <c r="AX145" s="1795">
        <f t="shared" ref="AX145:AX176" si="93">C145</f>
        <v>0</v>
      </c>
      <c r="AY145" s="42">
        <f t="shared" si="68"/>
        <v>1.22</v>
      </c>
      <c r="AZ145" s="35">
        <f t="shared" si="69"/>
        <v>10.84</v>
      </c>
      <c r="BA145" s="35">
        <f t="shared" si="70"/>
        <v>10.84</v>
      </c>
      <c r="BB145" s="35">
        <f t="shared" si="71"/>
        <v>10.84</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1272">
        <v>134</v>
      </c>
      <c r="B146" s="34"/>
      <c r="C146" s="34"/>
      <c r="D146" s="2952" t="s">
        <v>3068</v>
      </c>
      <c r="E146" s="16">
        <f t="shared" si="90"/>
        <v>1.22</v>
      </c>
      <c r="F146" s="36"/>
      <c r="G146" s="37">
        <f t="shared" si="65"/>
        <v>10.84</v>
      </c>
      <c r="H146" s="38">
        <f t="shared" si="66"/>
        <v>10.84</v>
      </c>
      <c r="I146" s="2954">
        <v>10.84</v>
      </c>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134</v>
      </c>
      <c r="AW146" s="1795">
        <f t="shared" si="92"/>
        <v>0</v>
      </c>
      <c r="AX146" s="1795">
        <f t="shared" si="93"/>
        <v>0</v>
      </c>
      <c r="AY146" s="42">
        <f t="shared" si="68"/>
        <v>1.22</v>
      </c>
      <c r="AZ146" s="35">
        <f t="shared" si="69"/>
        <v>10.84</v>
      </c>
      <c r="BA146" s="35">
        <f t="shared" si="70"/>
        <v>10.84</v>
      </c>
      <c r="BB146" s="35">
        <f t="shared" si="71"/>
        <v>10.84</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1272">
        <v>135</v>
      </c>
      <c r="B147" s="34"/>
      <c r="C147" s="34"/>
      <c r="D147" s="2952" t="s">
        <v>3068</v>
      </c>
      <c r="E147" s="16">
        <f t="shared" si="90"/>
        <v>1.22</v>
      </c>
      <c r="F147" s="36"/>
      <c r="G147" s="37">
        <f t="shared" si="65"/>
        <v>10.84</v>
      </c>
      <c r="H147" s="38">
        <f t="shared" si="66"/>
        <v>10.84</v>
      </c>
      <c r="I147" s="2954">
        <v>10.84</v>
      </c>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135</v>
      </c>
      <c r="AW147" s="1795">
        <f t="shared" si="92"/>
        <v>0</v>
      </c>
      <c r="AX147" s="1795">
        <f t="shared" si="93"/>
        <v>0</v>
      </c>
      <c r="AY147" s="42">
        <f t="shared" si="68"/>
        <v>1.22</v>
      </c>
      <c r="AZ147" s="35">
        <f t="shared" si="69"/>
        <v>10.84</v>
      </c>
      <c r="BA147" s="35">
        <f t="shared" si="70"/>
        <v>10.84</v>
      </c>
      <c r="BB147" s="35">
        <f t="shared" si="71"/>
        <v>10.84</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1272">
        <v>136</v>
      </c>
      <c r="B148" s="34"/>
      <c r="C148" s="34"/>
      <c r="D148" s="2952" t="s">
        <v>3068</v>
      </c>
      <c r="E148" s="16">
        <f t="shared" si="90"/>
        <v>10.81</v>
      </c>
      <c r="F148" s="36"/>
      <c r="G148" s="37">
        <f t="shared" si="65"/>
        <v>96.42</v>
      </c>
      <c r="H148" s="38">
        <f t="shared" si="66"/>
        <v>96.42</v>
      </c>
      <c r="I148" s="2954">
        <v>96.42</v>
      </c>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136</v>
      </c>
      <c r="AW148" s="1795">
        <f t="shared" si="92"/>
        <v>0</v>
      </c>
      <c r="AX148" s="1795">
        <f t="shared" si="93"/>
        <v>0</v>
      </c>
      <c r="AY148" s="42">
        <f t="shared" si="68"/>
        <v>10.81</v>
      </c>
      <c r="AZ148" s="35">
        <f t="shared" si="69"/>
        <v>96.42</v>
      </c>
      <c r="BA148" s="35">
        <f t="shared" si="70"/>
        <v>96.42</v>
      </c>
      <c r="BB148" s="35">
        <f t="shared" si="71"/>
        <v>96.42</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1272">
        <v>137</v>
      </c>
      <c r="B149" s="34"/>
      <c r="C149" s="34"/>
      <c r="D149" s="2952" t="s">
        <v>3068</v>
      </c>
      <c r="E149" s="16">
        <f t="shared" si="90"/>
        <v>3.68</v>
      </c>
      <c r="F149" s="36"/>
      <c r="G149" s="37">
        <f t="shared" si="65"/>
        <v>32.799999999999997</v>
      </c>
      <c r="H149" s="38">
        <f t="shared" si="66"/>
        <v>32.799999999999997</v>
      </c>
      <c r="I149" s="2954">
        <v>32.799999999999997</v>
      </c>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137</v>
      </c>
      <c r="AW149" s="1795">
        <f t="shared" si="92"/>
        <v>0</v>
      </c>
      <c r="AX149" s="1795">
        <f t="shared" si="93"/>
        <v>0</v>
      </c>
      <c r="AY149" s="42">
        <f t="shared" si="68"/>
        <v>3.68</v>
      </c>
      <c r="AZ149" s="35">
        <f t="shared" si="69"/>
        <v>32.799999999999997</v>
      </c>
      <c r="BA149" s="35">
        <f t="shared" si="70"/>
        <v>32.799999999999997</v>
      </c>
      <c r="BB149" s="35">
        <f t="shared" si="71"/>
        <v>32.799999999999997</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1272">
        <v>138</v>
      </c>
      <c r="B150" s="34"/>
      <c r="C150" s="34"/>
      <c r="D150" s="2952" t="s">
        <v>3068</v>
      </c>
      <c r="E150" s="16">
        <f t="shared" si="90"/>
        <v>3.68</v>
      </c>
      <c r="F150" s="36"/>
      <c r="G150" s="37">
        <f t="shared" si="65"/>
        <v>32.799999999999997</v>
      </c>
      <c r="H150" s="38">
        <f t="shared" si="66"/>
        <v>32.799999999999997</v>
      </c>
      <c r="I150" s="2954">
        <v>32.799999999999997</v>
      </c>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138</v>
      </c>
      <c r="AW150" s="1795">
        <f t="shared" si="92"/>
        <v>0</v>
      </c>
      <c r="AX150" s="1795">
        <f t="shared" si="93"/>
        <v>0</v>
      </c>
      <c r="AY150" s="42">
        <f t="shared" si="68"/>
        <v>3.68</v>
      </c>
      <c r="AZ150" s="35">
        <f t="shared" si="69"/>
        <v>32.799999999999997</v>
      </c>
      <c r="BA150" s="35">
        <f t="shared" si="70"/>
        <v>32.799999999999997</v>
      </c>
      <c r="BB150" s="35">
        <f t="shared" si="71"/>
        <v>32.799999999999997</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1272">
        <v>139</v>
      </c>
      <c r="B151" s="34"/>
      <c r="C151" s="34"/>
      <c r="D151" s="2952" t="s">
        <v>3068</v>
      </c>
      <c r="E151" s="16">
        <f t="shared" si="90"/>
        <v>1.58</v>
      </c>
      <c r="F151" s="36"/>
      <c r="G151" s="37">
        <f t="shared" si="65"/>
        <v>14.1</v>
      </c>
      <c r="H151" s="38">
        <f t="shared" si="66"/>
        <v>14.1</v>
      </c>
      <c r="I151" s="2954">
        <v>14.1</v>
      </c>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139</v>
      </c>
      <c r="AW151" s="1795">
        <f t="shared" si="92"/>
        <v>0</v>
      </c>
      <c r="AX151" s="1795">
        <f t="shared" si="93"/>
        <v>0</v>
      </c>
      <c r="AY151" s="42">
        <f t="shared" si="68"/>
        <v>1.58</v>
      </c>
      <c r="AZ151" s="35">
        <f t="shared" si="69"/>
        <v>14.1</v>
      </c>
      <c r="BA151" s="35">
        <f t="shared" si="70"/>
        <v>14.1</v>
      </c>
      <c r="BB151" s="35">
        <f t="shared" si="71"/>
        <v>14.1</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1272">
        <v>140</v>
      </c>
      <c r="B152" s="34"/>
      <c r="C152" s="34"/>
      <c r="D152" s="2952" t="s">
        <v>3068</v>
      </c>
      <c r="E152" s="16">
        <f t="shared" si="90"/>
        <v>1.63</v>
      </c>
      <c r="F152" s="36"/>
      <c r="G152" s="37">
        <f t="shared" si="65"/>
        <v>14.55</v>
      </c>
      <c r="H152" s="38">
        <f t="shared" si="66"/>
        <v>14.55</v>
      </c>
      <c r="I152" s="2955">
        <v>14.55</v>
      </c>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140</v>
      </c>
      <c r="AW152" s="1795">
        <f t="shared" si="92"/>
        <v>0</v>
      </c>
      <c r="AX152" s="1795">
        <f t="shared" si="93"/>
        <v>0</v>
      </c>
      <c r="AY152" s="42">
        <f t="shared" si="68"/>
        <v>1.63</v>
      </c>
      <c r="AZ152" s="35">
        <f t="shared" si="69"/>
        <v>14.55</v>
      </c>
      <c r="BA152" s="35">
        <f t="shared" si="70"/>
        <v>14.55</v>
      </c>
      <c r="BB152" s="35">
        <f t="shared" si="71"/>
        <v>14.55</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1272">
        <v>141</v>
      </c>
      <c r="B153" s="34"/>
      <c r="C153" s="34"/>
      <c r="D153" s="2952" t="s">
        <v>3068</v>
      </c>
      <c r="E153" s="16">
        <f t="shared" si="90"/>
        <v>2.88</v>
      </c>
      <c r="F153" s="36"/>
      <c r="G153" s="37">
        <f t="shared" si="65"/>
        <v>25.67</v>
      </c>
      <c r="H153" s="38">
        <f t="shared" si="66"/>
        <v>25.67</v>
      </c>
      <c r="I153" s="2955">
        <v>25.67</v>
      </c>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141</v>
      </c>
      <c r="AW153" s="1795">
        <f t="shared" si="92"/>
        <v>0</v>
      </c>
      <c r="AX153" s="1795">
        <f t="shared" si="93"/>
        <v>0</v>
      </c>
      <c r="AY153" s="42">
        <f t="shared" si="68"/>
        <v>2.88</v>
      </c>
      <c r="AZ153" s="35">
        <f t="shared" si="69"/>
        <v>25.67</v>
      </c>
      <c r="BA153" s="35">
        <f t="shared" si="70"/>
        <v>25.67</v>
      </c>
      <c r="BB153" s="35">
        <f t="shared" si="71"/>
        <v>25.67</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1272">
        <v>142</v>
      </c>
      <c r="B154" s="34"/>
      <c r="C154" s="34"/>
      <c r="D154" s="2952" t="s">
        <v>3068</v>
      </c>
      <c r="E154" s="16">
        <f t="shared" si="90"/>
        <v>1.47</v>
      </c>
      <c r="F154" s="36"/>
      <c r="G154" s="37">
        <f t="shared" si="65"/>
        <v>13.1</v>
      </c>
      <c r="H154" s="38">
        <f t="shared" si="66"/>
        <v>13.1</v>
      </c>
      <c r="I154" s="2955">
        <v>13.1</v>
      </c>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142</v>
      </c>
      <c r="AW154" s="1795">
        <f t="shared" si="92"/>
        <v>0</v>
      </c>
      <c r="AX154" s="1795">
        <f t="shared" si="93"/>
        <v>0</v>
      </c>
      <c r="AY154" s="42">
        <f t="shared" si="68"/>
        <v>1.47</v>
      </c>
      <c r="AZ154" s="35">
        <f t="shared" si="69"/>
        <v>13.1</v>
      </c>
      <c r="BA154" s="35">
        <f t="shared" si="70"/>
        <v>13.1</v>
      </c>
      <c r="BB154" s="35">
        <f t="shared" si="71"/>
        <v>13.1</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1272">
        <v>143</v>
      </c>
      <c r="B155" s="34"/>
      <c r="C155" s="34"/>
      <c r="D155" s="2952" t="s">
        <v>3068</v>
      </c>
      <c r="E155" s="16">
        <f t="shared" si="90"/>
        <v>1.47</v>
      </c>
      <c r="F155" s="36"/>
      <c r="G155" s="37">
        <f t="shared" si="65"/>
        <v>13.1</v>
      </c>
      <c r="H155" s="38">
        <f t="shared" si="66"/>
        <v>13.1</v>
      </c>
      <c r="I155" s="2955">
        <v>13.1</v>
      </c>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143</v>
      </c>
      <c r="AW155" s="1795">
        <f t="shared" si="92"/>
        <v>0</v>
      </c>
      <c r="AX155" s="1795">
        <f t="shared" si="93"/>
        <v>0</v>
      </c>
      <c r="AY155" s="42">
        <f t="shared" si="68"/>
        <v>1.47</v>
      </c>
      <c r="AZ155" s="35">
        <f t="shared" si="69"/>
        <v>13.1</v>
      </c>
      <c r="BA155" s="35">
        <f t="shared" si="70"/>
        <v>13.1</v>
      </c>
      <c r="BB155" s="35">
        <f t="shared" si="71"/>
        <v>13.1</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1272">
        <v>144</v>
      </c>
      <c r="B156" s="34"/>
      <c r="C156" s="34"/>
      <c r="D156" s="2952" t="s">
        <v>3068</v>
      </c>
      <c r="E156" s="16">
        <f t="shared" si="90"/>
        <v>1.87</v>
      </c>
      <c r="F156" s="36"/>
      <c r="G156" s="37">
        <f t="shared" si="65"/>
        <v>16.649999999999999</v>
      </c>
      <c r="H156" s="38">
        <f t="shared" si="66"/>
        <v>16.649999999999999</v>
      </c>
      <c r="I156" s="2955">
        <v>16.649999999999999</v>
      </c>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144</v>
      </c>
      <c r="AW156" s="1795">
        <f t="shared" si="92"/>
        <v>0</v>
      </c>
      <c r="AX156" s="1795">
        <f t="shared" si="93"/>
        <v>0</v>
      </c>
      <c r="AY156" s="42">
        <f t="shared" si="68"/>
        <v>1.87</v>
      </c>
      <c r="AZ156" s="35">
        <f t="shared" si="69"/>
        <v>16.649999999999999</v>
      </c>
      <c r="BA156" s="35">
        <f t="shared" si="70"/>
        <v>16.649999999999999</v>
      </c>
      <c r="BB156" s="35">
        <f t="shared" si="71"/>
        <v>16.649999999999999</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1272">
        <v>145</v>
      </c>
      <c r="B157" s="34"/>
      <c r="C157" s="34"/>
      <c r="D157" s="2952" t="s">
        <v>3068</v>
      </c>
      <c r="E157" s="16">
        <f t="shared" si="90"/>
        <v>1.87</v>
      </c>
      <c r="F157" s="36"/>
      <c r="G157" s="37">
        <f t="shared" si="65"/>
        <v>16.649999999999999</v>
      </c>
      <c r="H157" s="38">
        <f t="shared" si="66"/>
        <v>16.649999999999999</v>
      </c>
      <c r="I157" s="2955">
        <v>16.649999999999999</v>
      </c>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145</v>
      </c>
      <c r="AW157" s="1795">
        <f t="shared" si="92"/>
        <v>0</v>
      </c>
      <c r="AX157" s="1795">
        <f t="shared" si="93"/>
        <v>0</v>
      </c>
      <c r="AY157" s="42">
        <f t="shared" si="68"/>
        <v>1.87</v>
      </c>
      <c r="AZ157" s="35">
        <f t="shared" si="69"/>
        <v>16.649999999999999</v>
      </c>
      <c r="BA157" s="35">
        <f t="shared" si="70"/>
        <v>16.649999999999999</v>
      </c>
      <c r="BB157" s="35">
        <f t="shared" si="71"/>
        <v>16.649999999999999</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1272">
        <v>146</v>
      </c>
      <c r="B158" s="34"/>
      <c r="C158" s="34"/>
      <c r="D158" s="2952" t="s">
        <v>3068</v>
      </c>
      <c r="E158" s="16">
        <f t="shared" si="90"/>
        <v>1.47</v>
      </c>
      <c r="F158" s="36"/>
      <c r="G158" s="37">
        <f t="shared" si="65"/>
        <v>13.1</v>
      </c>
      <c r="H158" s="38">
        <f t="shared" si="66"/>
        <v>13.1</v>
      </c>
      <c r="I158" s="2955">
        <v>13.1</v>
      </c>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146</v>
      </c>
      <c r="AW158" s="1795">
        <f t="shared" si="92"/>
        <v>0</v>
      </c>
      <c r="AX158" s="1795">
        <f t="shared" si="93"/>
        <v>0</v>
      </c>
      <c r="AY158" s="42">
        <f t="shared" si="68"/>
        <v>1.47</v>
      </c>
      <c r="AZ158" s="35">
        <f t="shared" si="69"/>
        <v>13.1</v>
      </c>
      <c r="BA158" s="35">
        <f t="shared" si="70"/>
        <v>13.1</v>
      </c>
      <c r="BB158" s="35">
        <f t="shared" si="71"/>
        <v>13.1</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1272">
        <v>147</v>
      </c>
      <c r="B159" s="34"/>
      <c r="C159" s="34"/>
      <c r="D159" s="2952" t="s">
        <v>3068</v>
      </c>
      <c r="E159" s="16">
        <f t="shared" si="90"/>
        <v>1.47</v>
      </c>
      <c r="F159" s="36"/>
      <c r="G159" s="37">
        <f t="shared" si="65"/>
        <v>13.1</v>
      </c>
      <c r="H159" s="38">
        <f t="shared" si="66"/>
        <v>13.1</v>
      </c>
      <c r="I159" s="2955">
        <v>13.1</v>
      </c>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147</v>
      </c>
      <c r="AW159" s="1795">
        <f t="shared" si="92"/>
        <v>0</v>
      </c>
      <c r="AX159" s="1795">
        <f t="shared" si="93"/>
        <v>0</v>
      </c>
      <c r="AY159" s="42">
        <f t="shared" si="68"/>
        <v>1.47</v>
      </c>
      <c r="AZ159" s="35">
        <f t="shared" si="69"/>
        <v>13.1</v>
      </c>
      <c r="BA159" s="35">
        <f t="shared" si="70"/>
        <v>13.1</v>
      </c>
      <c r="BB159" s="35">
        <f t="shared" si="71"/>
        <v>13.1</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1272">
        <v>148</v>
      </c>
      <c r="B160" s="34"/>
      <c r="C160" s="34"/>
      <c r="D160" s="2952" t="s">
        <v>3068</v>
      </c>
      <c r="E160" s="16">
        <f t="shared" si="90"/>
        <v>1.87</v>
      </c>
      <c r="F160" s="36"/>
      <c r="G160" s="37">
        <f t="shared" si="65"/>
        <v>16.649999999999999</v>
      </c>
      <c r="H160" s="38">
        <f t="shared" si="66"/>
        <v>16.649999999999999</v>
      </c>
      <c r="I160" s="2955">
        <v>16.649999999999999</v>
      </c>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148</v>
      </c>
      <c r="AW160" s="1795">
        <f t="shared" si="92"/>
        <v>0</v>
      </c>
      <c r="AX160" s="1795">
        <f t="shared" si="93"/>
        <v>0</v>
      </c>
      <c r="AY160" s="42">
        <f t="shared" si="68"/>
        <v>1.87</v>
      </c>
      <c r="AZ160" s="35">
        <f t="shared" si="69"/>
        <v>16.649999999999999</v>
      </c>
      <c r="BA160" s="35">
        <f t="shared" si="70"/>
        <v>16.649999999999999</v>
      </c>
      <c r="BB160" s="35">
        <f t="shared" si="71"/>
        <v>16.649999999999999</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1272">
        <v>149</v>
      </c>
      <c r="B161" s="34"/>
      <c r="C161" s="34"/>
      <c r="D161" s="2952" t="s">
        <v>3068</v>
      </c>
      <c r="E161" s="16">
        <f t="shared" si="90"/>
        <v>1.87</v>
      </c>
      <c r="F161" s="36"/>
      <c r="G161" s="37">
        <f t="shared" si="65"/>
        <v>16.649999999999999</v>
      </c>
      <c r="H161" s="38">
        <f t="shared" si="66"/>
        <v>16.649999999999999</v>
      </c>
      <c r="I161" s="2955">
        <v>16.649999999999999</v>
      </c>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149</v>
      </c>
      <c r="AW161" s="1795">
        <f t="shared" si="92"/>
        <v>0</v>
      </c>
      <c r="AX161" s="1795">
        <f t="shared" si="93"/>
        <v>0</v>
      </c>
      <c r="AY161" s="42">
        <f t="shared" si="68"/>
        <v>1.87</v>
      </c>
      <c r="AZ161" s="35">
        <f t="shared" si="69"/>
        <v>16.649999999999999</v>
      </c>
      <c r="BA161" s="35">
        <f t="shared" si="70"/>
        <v>16.649999999999999</v>
      </c>
      <c r="BB161" s="35">
        <f t="shared" si="71"/>
        <v>16.649999999999999</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1272">
        <v>150</v>
      </c>
      <c r="B162" s="34"/>
      <c r="C162" s="34"/>
      <c r="D162" s="2952" t="s">
        <v>3068</v>
      </c>
      <c r="E162" s="16">
        <f t="shared" si="90"/>
        <v>1.47</v>
      </c>
      <c r="F162" s="36"/>
      <c r="G162" s="37">
        <f t="shared" si="65"/>
        <v>13.1</v>
      </c>
      <c r="H162" s="38">
        <f t="shared" si="66"/>
        <v>13.1</v>
      </c>
      <c r="I162" s="2955">
        <v>13.1</v>
      </c>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150</v>
      </c>
      <c r="AW162" s="1795">
        <f t="shared" si="92"/>
        <v>0</v>
      </c>
      <c r="AX162" s="1795">
        <f t="shared" si="93"/>
        <v>0</v>
      </c>
      <c r="AY162" s="42">
        <f t="shared" si="68"/>
        <v>1.47</v>
      </c>
      <c r="AZ162" s="35">
        <f t="shared" si="69"/>
        <v>13.1</v>
      </c>
      <c r="BA162" s="35">
        <f t="shared" si="70"/>
        <v>13.1</v>
      </c>
      <c r="BB162" s="35">
        <f t="shared" si="71"/>
        <v>13.1</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1272">
        <v>151</v>
      </c>
      <c r="B163" s="34"/>
      <c r="C163" s="34"/>
      <c r="D163" s="2952" t="s">
        <v>3068</v>
      </c>
      <c r="E163" s="16">
        <f t="shared" si="90"/>
        <v>1.47</v>
      </c>
      <c r="F163" s="36"/>
      <c r="G163" s="37">
        <f t="shared" si="65"/>
        <v>13.1</v>
      </c>
      <c r="H163" s="38">
        <f t="shared" si="66"/>
        <v>13.1</v>
      </c>
      <c r="I163" s="2955">
        <v>13.1</v>
      </c>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151</v>
      </c>
      <c r="AW163" s="1795">
        <f t="shared" si="92"/>
        <v>0</v>
      </c>
      <c r="AX163" s="1795">
        <f t="shared" si="93"/>
        <v>0</v>
      </c>
      <c r="AY163" s="42">
        <f t="shared" si="68"/>
        <v>1.47</v>
      </c>
      <c r="AZ163" s="35">
        <f t="shared" si="69"/>
        <v>13.1</v>
      </c>
      <c r="BA163" s="35">
        <f t="shared" si="70"/>
        <v>13.1</v>
      </c>
      <c r="BB163" s="35">
        <f t="shared" si="71"/>
        <v>13.1</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1272">
        <v>152</v>
      </c>
      <c r="B164" s="34"/>
      <c r="C164" s="34"/>
      <c r="D164" s="2952" t="s">
        <v>3068</v>
      </c>
      <c r="E164" s="16">
        <f t="shared" si="90"/>
        <v>1.87</v>
      </c>
      <c r="F164" s="36"/>
      <c r="G164" s="37">
        <f t="shared" si="65"/>
        <v>16.649999999999999</v>
      </c>
      <c r="H164" s="38">
        <f t="shared" si="66"/>
        <v>16.649999999999999</v>
      </c>
      <c r="I164" s="2955">
        <v>16.649999999999999</v>
      </c>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152</v>
      </c>
      <c r="AW164" s="1795">
        <f t="shared" si="92"/>
        <v>0</v>
      </c>
      <c r="AX164" s="1795">
        <f t="shared" si="93"/>
        <v>0</v>
      </c>
      <c r="AY164" s="42">
        <f t="shared" si="68"/>
        <v>1.87</v>
      </c>
      <c r="AZ164" s="35">
        <f t="shared" si="69"/>
        <v>16.649999999999999</v>
      </c>
      <c r="BA164" s="35">
        <f t="shared" si="70"/>
        <v>16.649999999999999</v>
      </c>
      <c r="BB164" s="35">
        <f t="shared" si="71"/>
        <v>16.649999999999999</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1272">
        <v>153</v>
      </c>
      <c r="B165" s="34"/>
      <c r="C165" s="34"/>
      <c r="D165" s="2952" t="s">
        <v>3068</v>
      </c>
      <c r="E165" s="16">
        <f t="shared" si="90"/>
        <v>1.87</v>
      </c>
      <c r="F165" s="36"/>
      <c r="G165" s="37">
        <f t="shared" si="65"/>
        <v>16.649999999999999</v>
      </c>
      <c r="H165" s="38">
        <f t="shared" si="66"/>
        <v>16.649999999999999</v>
      </c>
      <c r="I165" s="2955">
        <v>16.649999999999999</v>
      </c>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153</v>
      </c>
      <c r="AW165" s="1795">
        <f t="shared" si="92"/>
        <v>0</v>
      </c>
      <c r="AX165" s="1795">
        <f t="shared" si="93"/>
        <v>0</v>
      </c>
      <c r="AY165" s="42">
        <f t="shared" si="68"/>
        <v>1.87</v>
      </c>
      <c r="AZ165" s="35">
        <f t="shared" si="69"/>
        <v>16.649999999999999</v>
      </c>
      <c r="BA165" s="35">
        <f t="shared" si="70"/>
        <v>16.649999999999999</v>
      </c>
      <c r="BB165" s="35">
        <f t="shared" si="71"/>
        <v>16.649999999999999</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1272">
        <v>154</v>
      </c>
      <c r="B166" s="34"/>
      <c r="C166" s="34"/>
      <c r="D166" s="2952" t="s">
        <v>3068</v>
      </c>
      <c r="E166" s="16">
        <f t="shared" si="90"/>
        <v>1.47</v>
      </c>
      <c r="F166" s="36"/>
      <c r="G166" s="37">
        <f t="shared" si="65"/>
        <v>13.1</v>
      </c>
      <c r="H166" s="38">
        <f t="shared" si="66"/>
        <v>13.1</v>
      </c>
      <c r="I166" s="2955">
        <v>13.1</v>
      </c>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154</v>
      </c>
      <c r="AW166" s="1795">
        <f t="shared" si="92"/>
        <v>0</v>
      </c>
      <c r="AX166" s="1795">
        <f t="shared" si="93"/>
        <v>0</v>
      </c>
      <c r="AY166" s="42">
        <f t="shared" si="68"/>
        <v>1.47</v>
      </c>
      <c r="AZ166" s="35">
        <f t="shared" si="69"/>
        <v>13.1</v>
      </c>
      <c r="BA166" s="35">
        <f t="shared" si="70"/>
        <v>13.1</v>
      </c>
      <c r="BB166" s="35">
        <f t="shared" si="71"/>
        <v>13.1</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1272">
        <v>155</v>
      </c>
      <c r="B167" s="34"/>
      <c r="C167" s="34"/>
      <c r="D167" s="2952" t="s">
        <v>3068</v>
      </c>
      <c r="E167" s="16">
        <f t="shared" si="90"/>
        <v>1.47</v>
      </c>
      <c r="F167" s="36"/>
      <c r="G167" s="37">
        <f t="shared" si="65"/>
        <v>13.1</v>
      </c>
      <c r="H167" s="38">
        <f t="shared" si="66"/>
        <v>13.1</v>
      </c>
      <c r="I167" s="2955">
        <v>13.1</v>
      </c>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155</v>
      </c>
      <c r="AW167" s="1795">
        <f t="shared" si="92"/>
        <v>0</v>
      </c>
      <c r="AX167" s="1795">
        <f t="shared" si="93"/>
        <v>0</v>
      </c>
      <c r="AY167" s="42">
        <f t="shared" si="68"/>
        <v>1.47</v>
      </c>
      <c r="AZ167" s="35">
        <f t="shared" si="69"/>
        <v>13.1</v>
      </c>
      <c r="BA167" s="35">
        <f t="shared" si="70"/>
        <v>13.1</v>
      </c>
      <c r="BB167" s="35">
        <f t="shared" si="71"/>
        <v>13.1</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1272">
        <v>156</v>
      </c>
      <c r="B168" s="34"/>
      <c r="C168" s="34"/>
      <c r="D168" s="2952" t="s">
        <v>3068</v>
      </c>
      <c r="E168" s="16">
        <f t="shared" si="90"/>
        <v>1.87</v>
      </c>
      <c r="F168" s="36"/>
      <c r="G168" s="37">
        <f t="shared" si="65"/>
        <v>16.649999999999999</v>
      </c>
      <c r="H168" s="38">
        <f t="shared" si="66"/>
        <v>16.649999999999999</v>
      </c>
      <c r="I168" s="2955">
        <v>16.649999999999999</v>
      </c>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156</v>
      </c>
      <c r="AW168" s="1795">
        <f t="shared" si="92"/>
        <v>0</v>
      </c>
      <c r="AX168" s="1795">
        <f t="shared" si="93"/>
        <v>0</v>
      </c>
      <c r="AY168" s="42">
        <f t="shared" si="68"/>
        <v>1.87</v>
      </c>
      <c r="AZ168" s="35">
        <f t="shared" si="69"/>
        <v>16.649999999999999</v>
      </c>
      <c r="BA168" s="35">
        <f t="shared" si="70"/>
        <v>16.649999999999999</v>
      </c>
      <c r="BB168" s="35">
        <f t="shared" si="71"/>
        <v>16.649999999999999</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1272">
        <v>157</v>
      </c>
      <c r="B169" s="34"/>
      <c r="C169" s="34"/>
      <c r="D169" s="2952" t="s">
        <v>3068</v>
      </c>
      <c r="E169" s="16">
        <f t="shared" si="90"/>
        <v>1.87</v>
      </c>
      <c r="F169" s="36"/>
      <c r="G169" s="37">
        <f t="shared" si="65"/>
        <v>16.649999999999999</v>
      </c>
      <c r="H169" s="38">
        <f t="shared" si="66"/>
        <v>16.649999999999999</v>
      </c>
      <c r="I169" s="2955">
        <v>16.649999999999999</v>
      </c>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157</v>
      </c>
      <c r="AW169" s="1795">
        <f t="shared" si="92"/>
        <v>0</v>
      </c>
      <c r="AX169" s="1795">
        <f t="shared" si="93"/>
        <v>0</v>
      </c>
      <c r="AY169" s="42">
        <f t="shared" si="68"/>
        <v>1.87</v>
      </c>
      <c r="AZ169" s="35">
        <f t="shared" si="69"/>
        <v>16.649999999999999</v>
      </c>
      <c r="BA169" s="35">
        <f t="shared" si="70"/>
        <v>16.649999999999999</v>
      </c>
      <c r="BB169" s="35">
        <f t="shared" si="71"/>
        <v>16.649999999999999</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1272">
        <v>158</v>
      </c>
      <c r="B170" s="34"/>
      <c r="C170" s="34"/>
      <c r="D170" s="2952" t="s">
        <v>3068</v>
      </c>
      <c r="E170" s="16">
        <f t="shared" si="90"/>
        <v>1.47</v>
      </c>
      <c r="F170" s="36"/>
      <c r="G170" s="37">
        <f t="shared" si="65"/>
        <v>13.1</v>
      </c>
      <c r="H170" s="38">
        <f t="shared" si="66"/>
        <v>13.1</v>
      </c>
      <c r="I170" s="2955">
        <v>13.1</v>
      </c>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158</v>
      </c>
      <c r="AW170" s="1795">
        <f t="shared" si="92"/>
        <v>0</v>
      </c>
      <c r="AX170" s="1795">
        <f t="shared" si="93"/>
        <v>0</v>
      </c>
      <c r="AY170" s="42">
        <f t="shared" si="68"/>
        <v>1.47</v>
      </c>
      <c r="AZ170" s="35">
        <f t="shared" si="69"/>
        <v>13.1</v>
      </c>
      <c r="BA170" s="35">
        <f t="shared" si="70"/>
        <v>13.1</v>
      </c>
      <c r="BB170" s="35">
        <f t="shared" si="71"/>
        <v>13.1</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1272">
        <v>159</v>
      </c>
      <c r="B171" s="34"/>
      <c r="C171" s="34"/>
      <c r="D171" s="2952" t="s">
        <v>3068</v>
      </c>
      <c r="E171" s="16">
        <f t="shared" si="90"/>
        <v>1.47</v>
      </c>
      <c r="F171" s="36"/>
      <c r="G171" s="37">
        <f t="shared" si="65"/>
        <v>13.1</v>
      </c>
      <c r="H171" s="38">
        <f t="shared" si="66"/>
        <v>13.1</v>
      </c>
      <c r="I171" s="2955">
        <v>13.1</v>
      </c>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159</v>
      </c>
      <c r="AW171" s="1795">
        <f t="shared" si="92"/>
        <v>0</v>
      </c>
      <c r="AX171" s="1795">
        <f t="shared" si="93"/>
        <v>0</v>
      </c>
      <c r="AY171" s="42">
        <f t="shared" si="68"/>
        <v>1.47</v>
      </c>
      <c r="AZ171" s="35">
        <f t="shared" si="69"/>
        <v>13.1</v>
      </c>
      <c r="BA171" s="35">
        <f t="shared" si="70"/>
        <v>13.1</v>
      </c>
      <c r="BB171" s="35">
        <f t="shared" si="71"/>
        <v>13.1</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1272">
        <v>160</v>
      </c>
      <c r="B172" s="34"/>
      <c r="C172" s="34"/>
      <c r="D172" s="2952" t="s">
        <v>3068</v>
      </c>
      <c r="E172" s="16">
        <f t="shared" si="90"/>
        <v>1.86</v>
      </c>
      <c r="F172" s="36"/>
      <c r="G172" s="37">
        <f t="shared" si="65"/>
        <v>16.59</v>
      </c>
      <c r="H172" s="38">
        <f t="shared" si="66"/>
        <v>16.59</v>
      </c>
      <c r="I172" s="2955">
        <v>16.59</v>
      </c>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160</v>
      </c>
      <c r="AW172" s="1795">
        <f t="shared" si="92"/>
        <v>0</v>
      </c>
      <c r="AX172" s="1795">
        <f t="shared" si="93"/>
        <v>0</v>
      </c>
      <c r="AY172" s="42">
        <f t="shared" si="68"/>
        <v>1.86</v>
      </c>
      <c r="AZ172" s="35">
        <f t="shared" si="69"/>
        <v>16.59</v>
      </c>
      <c r="BA172" s="35">
        <f t="shared" si="70"/>
        <v>16.59</v>
      </c>
      <c r="BB172" s="35">
        <f t="shared" si="71"/>
        <v>16.59</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1272">
        <v>161</v>
      </c>
      <c r="B173" s="34"/>
      <c r="C173" s="34"/>
      <c r="D173" s="2952" t="s">
        <v>3068</v>
      </c>
      <c r="E173" s="16">
        <f t="shared" si="90"/>
        <v>1.77</v>
      </c>
      <c r="F173" s="36"/>
      <c r="G173" s="37">
        <f t="shared" si="65"/>
        <v>15.79</v>
      </c>
      <c r="H173" s="38">
        <f t="shared" si="66"/>
        <v>15.79</v>
      </c>
      <c r="I173" s="2955">
        <v>15.79</v>
      </c>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161</v>
      </c>
      <c r="AW173" s="1795">
        <f t="shared" si="92"/>
        <v>0</v>
      </c>
      <c r="AX173" s="1795">
        <f t="shared" si="93"/>
        <v>0</v>
      </c>
      <c r="AY173" s="42">
        <f t="shared" si="68"/>
        <v>1.77</v>
      </c>
      <c r="AZ173" s="35">
        <f t="shared" si="69"/>
        <v>15.79</v>
      </c>
      <c r="BA173" s="35">
        <f t="shared" si="70"/>
        <v>15.79</v>
      </c>
      <c r="BB173" s="35">
        <f t="shared" si="71"/>
        <v>15.79</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1272">
        <v>162</v>
      </c>
      <c r="B174" s="34"/>
      <c r="C174" s="34"/>
      <c r="D174" s="2952" t="s">
        <v>3068</v>
      </c>
      <c r="E174" s="16">
        <f t="shared" si="90"/>
        <v>1.43</v>
      </c>
      <c r="F174" s="36"/>
      <c r="G174" s="37">
        <f t="shared" ref="G174:G205" si="94">H174+AC174+AT174</f>
        <v>12.75</v>
      </c>
      <c r="H174" s="38">
        <f t="shared" ref="H174:H205" si="95">SUMIF(I$12:AB$12,"总值",I174:AB174)</f>
        <v>12.75</v>
      </c>
      <c r="I174" s="2955">
        <v>12.75</v>
      </c>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162</v>
      </c>
      <c r="AW174" s="1795">
        <f t="shared" si="92"/>
        <v>0</v>
      </c>
      <c r="AX174" s="1795">
        <f t="shared" si="93"/>
        <v>0</v>
      </c>
      <c r="AY174" s="42">
        <f t="shared" ref="AY174:AY205" si="97">ROUND($AY$6*AZ174/$AZ$5,2)</f>
        <v>1.43</v>
      </c>
      <c r="AZ174" s="35">
        <f t="shared" ref="AZ174:AZ205" si="98">BA174+BL174</f>
        <v>12.75</v>
      </c>
      <c r="BA174" s="35">
        <f t="shared" ref="BA174:BA205" si="99">SUM(BB174:BK174)</f>
        <v>12.75</v>
      </c>
      <c r="BB174" s="35">
        <f t="shared" ref="BB174:BB207" si="100">IF($D174="是",I174-J174,0)</f>
        <v>12.75</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1272">
        <v>163</v>
      </c>
      <c r="B175" s="34"/>
      <c r="C175" s="34"/>
      <c r="D175" s="2952" t="s">
        <v>3068</v>
      </c>
      <c r="E175" s="16">
        <f t="shared" si="90"/>
        <v>1.43</v>
      </c>
      <c r="F175" s="36"/>
      <c r="G175" s="37">
        <f t="shared" si="94"/>
        <v>12.75</v>
      </c>
      <c r="H175" s="38">
        <f t="shared" si="95"/>
        <v>12.75</v>
      </c>
      <c r="I175" s="2955">
        <v>12.75</v>
      </c>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163</v>
      </c>
      <c r="AW175" s="1795">
        <f t="shared" si="92"/>
        <v>0</v>
      </c>
      <c r="AX175" s="1795">
        <f t="shared" si="93"/>
        <v>0</v>
      </c>
      <c r="AY175" s="42">
        <f t="shared" si="97"/>
        <v>1.43</v>
      </c>
      <c r="AZ175" s="35">
        <f t="shared" si="98"/>
        <v>12.75</v>
      </c>
      <c r="BA175" s="35">
        <f t="shared" si="99"/>
        <v>12.75</v>
      </c>
      <c r="BB175" s="35">
        <f t="shared" si="100"/>
        <v>12.75</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1272">
        <v>164</v>
      </c>
      <c r="B176" s="34"/>
      <c r="C176" s="34"/>
      <c r="D176" s="2952" t="s">
        <v>3068</v>
      </c>
      <c r="E176" s="16">
        <f t="shared" si="90"/>
        <v>1.43</v>
      </c>
      <c r="F176" s="36"/>
      <c r="G176" s="37">
        <f t="shared" si="94"/>
        <v>12.75</v>
      </c>
      <c r="H176" s="38">
        <f t="shared" si="95"/>
        <v>12.75</v>
      </c>
      <c r="I176" s="2955">
        <v>12.75</v>
      </c>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164</v>
      </c>
      <c r="AW176" s="1795">
        <f t="shared" si="92"/>
        <v>0</v>
      </c>
      <c r="AX176" s="1795">
        <f t="shared" si="93"/>
        <v>0</v>
      </c>
      <c r="AY176" s="42">
        <f t="shared" si="97"/>
        <v>1.43</v>
      </c>
      <c r="AZ176" s="35">
        <f t="shared" si="98"/>
        <v>12.75</v>
      </c>
      <c r="BA176" s="35">
        <f t="shared" si="99"/>
        <v>12.75</v>
      </c>
      <c r="BB176" s="35">
        <f t="shared" si="100"/>
        <v>12.75</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1272">
        <v>165</v>
      </c>
      <c r="B177" s="34"/>
      <c r="C177" s="34"/>
      <c r="D177" s="2952" t="s">
        <v>3068</v>
      </c>
      <c r="E177" s="16">
        <f t="shared" ref="E177:E207" si="119">IF($C$3="是",ROUND($A$3*G177/$B$3,2),ROUND($A$3*(G177-AT177)/$B$3,2))</f>
        <v>1.38</v>
      </c>
      <c r="F177" s="36"/>
      <c r="G177" s="37">
        <f t="shared" si="94"/>
        <v>12.28</v>
      </c>
      <c r="H177" s="38">
        <f t="shared" si="95"/>
        <v>12.28</v>
      </c>
      <c r="I177" s="2955">
        <v>12.28</v>
      </c>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165</v>
      </c>
      <c r="AW177" s="1795">
        <f t="shared" ref="AW177:AW207" si="121">B177</f>
        <v>0</v>
      </c>
      <c r="AX177" s="1795">
        <f t="shared" ref="AX177:AX207" si="122">C177</f>
        <v>0</v>
      </c>
      <c r="AY177" s="42">
        <f t="shared" si="97"/>
        <v>1.38</v>
      </c>
      <c r="AZ177" s="35">
        <f t="shared" si="98"/>
        <v>12.28</v>
      </c>
      <c r="BA177" s="35">
        <f t="shared" si="99"/>
        <v>12.28</v>
      </c>
      <c r="BB177" s="35">
        <f t="shared" si="100"/>
        <v>12.28</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1272">
        <v>166</v>
      </c>
      <c r="B178" s="34"/>
      <c r="C178" s="34"/>
      <c r="D178" s="2952" t="s">
        <v>3068</v>
      </c>
      <c r="E178" s="16">
        <f t="shared" si="119"/>
        <v>1.33</v>
      </c>
      <c r="F178" s="36"/>
      <c r="G178" s="37">
        <f t="shared" si="94"/>
        <v>11.84</v>
      </c>
      <c r="H178" s="38">
        <f t="shared" si="95"/>
        <v>11.84</v>
      </c>
      <c r="I178" s="2955">
        <v>11.84</v>
      </c>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166</v>
      </c>
      <c r="AW178" s="1795">
        <f t="shared" si="121"/>
        <v>0</v>
      </c>
      <c r="AX178" s="1795">
        <f t="shared" si="122"/>
        <v>0</v>
      </c>
      <c r="AY178" s="42">
        <f t="shared" si="97"/>
        <v>1.33</v>
      </c>
      <c r="AZ178" s="35">
        <f t="shared" si="98"/>
        <v>11.84</v>
      </c>
      <c r="BA178" s="35">
        <f t="shared" si="99"/>
        <v>11.84</v>
      </c>
      <c r="BB178" s="35">
        <f t="shared" si="100"/>
        <v>11.84</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1272">
        <v>167</v>
      </c>
      <c r="B179" s="34"/>
      <c r="C179" s="34"/>
      <c r="D179" s="2952" t="s">
        <v>3068</v>
      </c>
      <c r="E179" s="16">
        <f t="shared" si="119"/>
        <v>1.33</v>
      </c>
      <c r="F179" s="36"/>
      <c r="G179" s="37">
        <f t="shared" si="94"/>
        <v>11.84</v>
      </c>
      <c r="H179" s="38">
        <f t="shared" si="95"/>
        <v>11.84</v>
      </c>
      <c r="I179" s="2955">
        <v>11.84</v>
      </c>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167</v>
      </c>
      <c r="AW179" s="1795">
        <f t="shared" si="121"/>
        <v>0</v>
      </c>
      <c r="AX179" s="1795">
        <f t="shared" si="122"/>
        <v>0</v>
      </c>
      <c r="AY179" s="42">
        <f t="shared" si="97"/>
        <v>1.33</v>
      </c>
      <c r="AZ179" s="35">
        <f t="shared" si="98"/>
        <v>11.84</v>
      </c>
      <c r="BA179" s="35">
        <f t="shared" si="99"/>
        <v>11.84</v>
      </c>
      <c r="BB179" s="35">
        <f t="shared" si="100"/>
        <v>11.84</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1272">
        <v>168</v>
      </c>
      <c r="B180" s="34"/>
      <c r="C180" s="34"/>
      <c r="D180" s="2952" t="s">
        <v>3068</v>
      </c>
      <c r="E180" s="16">
        <f t="shared" si="119"/>
        <v>1.58</v>
      </c>
      <c r="F180" s="36"/>
      <c r="G180" s="37">
        <f t="shared" si="94"/>
        <v>14.1</v>
      </c>
      <c r="H180" s="38">
        <f t="shared" si="95"/>
        <v>14.1</v>
      </c>
      <c r="I180" s="2955">
        <v>14.1</v>
      </c>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168</v>
      </c>
      <c r="AW180" s="1795">
        <f t="shared" si="121"/>
        <v>0</v>
      </c>
      <c r="AX180" s="1795">
        <f t="shared" si="122"/>
        <v>0</v>
      </c>
      <c r="AY180" s="42">
        <f t="shared" si="97"/>
        <v>1.58</v>
      </c>
      <c r="AZ180" s="35">
        <f t="shared" si="98"/>
        <v>14.1</v>
      </c>
      <c r="BA180" s="35">
        <f t="shared" si="99"/>
        <v>14.1</v>
      </c>
      <c r="BB180" s="35">
        <f t="shared" si="100"/>
        <v>14.1</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1272">
        <v>169</v>
      </c>
      <c r="B181" s="34"/>
      <c r="C181" s="34"/>
      <c r="D181" s="2952" t="s">
        <v>3068</v>
      </c>
      <c r="E181" s="16">
        <f t="shared" si="119"/>
        <v>1.58</v>
      </c>
      <c r="F181" s="36"/>
      <c r="G181" s="37">
        <f t="shared" si="94"/>
        <v>14.1</v>
      </c>
      <c r="H181" s="38">
        <f t="shared" si="95"/>
        <v>14.1</v>
      </c>
      <c r="I181" s="2957">
        <v>14.1</v>
      </c>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169</v>
      </c>
      <c r="AW181" s="1795">
        <f t="shared" si="121"/>
        <v>0</v>
      </c>
      <c r="AX181" s="1795">
        <f t="shared" si="122"/>
        <v>0</v>
      </c>
      <c r="AY181" s="42">
        <f t="shared" si="97"/>
        <v>1.58</v>
      </c>
      <c r="AZ181" s="35">
        <f t="shared" si="98"/>
        <v>14.1</v>
      </c>
      <c r="BA181" s="35">
        <f t="shared" si="99"/>
        <v>14.1</v>
      </c>
      <c r="BB181" s="35">
        <f t="shared" si="100"/>
        <v>14.1</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1272">
        <v>170</v>
      </c>
      <c r="B182" s="34"/>
      <c r="C182" s="34"/>
      <c r="D182" s="2952" t="s">
        <v>3068</v>
      </c>
      <c r="E182" s="16">
        <f t="shared" si="119"/>
        <v>4.1399999999999997</v>
      </c>
      <c r="F182" s="36"/>
      <c r="G182" s="37">
        <f t="shared" si="94"/>
        <v>36.950000000000003</v>
      </c>
      <c r="H182" s="38">
        <f t="shared" si="95"/>
        <v>36.950000000000003</v>
      </c>
      <c r="I182" s="2957">
        <v>36.950000000000003</v>
      </c>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170</v>
      </c>
      <c r="AW182" s="1795">
        <f t="shared" si="121"/>
        <v>0</v>
      </c>
      <c r="AX182" s="1795">
        <f t="shared" si="122"/>
        <v>0</v>
      </c>
      <c r="AY182" s="42">
        <f t="shared" si="97"/>
        <v>4.1399999999999997</v>
      </c>
      <c r="AZ182" s="35">
        <f t="shared" si="98"/>
        <v>36.950000000000003</v>
      </c>
      <c r="BA182" s="35">
        <f t="shared" si="99"/>
        <v>36.950000000000003</v>
      </c>
      <c r="BB182" s="35">
        <f t="shared" si="100"/>
        <v>36.950000000000003</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1272">
        <v>171</v>
      </c>
      <c r="B183" s="34"/>
      <c r="C183" s="34"/>
      <c r="D183" s="2952" t="s">
        <v>3068</v>
      </c>
      <c r="E183" s="16">
        <f t="shared" si="119"/>
        <v>4.72</v>
      </c>
      <c r="F183" s="36"/>
      <c r="G183" s="37">
        <f t="shared" si="94"/>
        <v>42.06</v>
      </c>
      <c r="H183" s="38">
        <f t="shared" si="95"/>
        <v>42.06</v>
      </c>
      <c r="I183" s="2957">
        <v>42.06</v>
      </c>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171</v>
      </c>
      <c r="AW183" s="1795">
        <f t="shared" si="121"/>
        <v>0</v>
      </c>
      <c r="AX183" s="1795">
        <f t="shared" si="122"/>
        <v>0</v>
      </c>
      <c r="AY183" s="42">
        <f t="shared" si="97"/>
        <v>4.72</v>
      </c>
      <c r="AZ183" s="35">
        <f t="shared" si="98"/>
        <v>42.06</v>
      </c>
      <c r="BA183" s="35">
        <f t="shared" si="99"/>
        <v>42.06</v>
      </c>
      <c r="BB183" s="35">
        <f t="shared" si="100"/>
        <v>42.06</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1272">
        <v>172</v>
      </c>
      <c r="B184" s="34"/>
      <c r="C184" s="34"/>
      <c r="D184" s="2952" t="s">
        <v>3068</v>
      </c>
      <c r="E184" s="16">
        <f t="shared" si="119"/>
        <v>5.03</v>
      </c>
      <c r="F184" s="36"/>
      <c r="G184" s="37">
        <f t="shared" si="94"/>
        <v>44.88</v>
      </c>
      <c r="H184" s="38">
        <f t="shared" si="95"/>
        <v>44.88</v>
      </c>
      <c r="I184" s="2957">
        <v>44.88</v>
      </c>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172</v>
      </c>
      <c r="AW184" s="1795">
        <f t="shared" si="121"/>
        <v>0</v>
      </c>
      <c r="AX184" s="1795">
        <f t="shared" si="122"/>
        <v>0</v>
      </c>
      <c r="AY184" s="42">
        <f t="shared" si="97"/>
        <v>5.03</v>
      </c>
      <c r="AZ184" s="35">
        <f t="shared" si="98"/>
        <v>44.88</v>
      </c>
      <c r="BA184" s="35">
        <f t="shared" si="99"/>
        <v>44.88</v>
      </c>
      <c r="BB184" s="35">
        <f t="shared" si="100"/>
        <v>44.88</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1272">
        <v>173</v>
      </c>
      <c r="B185" s="34"/>
      <c r="C185" s="34"/>
      <c r="D185" s="2952" t="s">
        <v>3068</v>
      </c>
      <c r="E185" s="16">
        <f t="shared" si="119"/>
        <v>4.9000000000000004</v>
      </c>
      <c r="F185" s="36"/>
      <c r="G185" s="37">
        <f t="shared" si="94"/>
        <v>43.72</v>
      </c>
      <c r="H185" s="38">
        <f t="shared" si="95"/>
        <v>43.72</v>
      </c>
      <c r="I185" s="2957">
        <v>43.72</v>
      </c>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173</v>
      </c>
      <c r="AW185" s="1795">
        <f t="shared" si="121"/>
        <v>0</v>
      </c>
      <c r="AX185" s="1795">
        <f t="shared" si="122"/>
        <v>0</v>
      </c>
      <c r="AY185" s="42">
        <f t="shared" si="97"/>
        <v>4.9000000000000004</v>
      </c>
      <c r="AZ185" s="35">
        <f t="shared" si="98"/>
        <v>43.72</v>
      </c>
      <c r="BA185" s="35">
        <f t="shared" si="99"/>
        <v>43.72</v>
      </c>
      <c r="BB185" s="35">
        <f t="shared" si="100"/>
        <v>43.72</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1272">
        <v>174</v>
      </c>
      <c r="B186" s="34"/>
      <c r="C186" s="34"/>
      <c r="D186" s="2952" t="s">
        <v>3068</v>
      </c>
      <c r="E186" s="16">
        <f t="shared" si="119"/>
        <v>4.93</v>
      </c>
      <c r="F186" s="36"/>
      <c r="G186" s="37">
        <f t="shared" si="94"/>
        <v>43.95</v>
      </c>
      <c r="H186" s="38">
        <f t="shared" si="95"/>
        <v>43.95</v>
      </c>
      <c r="I186" s="2957">
        <v>43.95</v>
      </c>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174</v>
      </c>
      <c r="AW186" s="1795">
        <f t="shared" si="121"/>
        <v>0</v>
      </c>
      <c r="AX186" s="1795">
        <f t="shared" si="122"/>
        <v>0</v>
      </c>
      <c r="AY186" s="42">
        <f t="shared" si="97"/>
        <v>4.93</v>
      </c>
      <c r="AZ186" s="35">
        <f t="shared" si="98"/>
        <v>43.95</v>
      </c>
      <c r="BA186" s="35">
        <f t="shared" si="99"/>
        <v>43.95</v>
      </c>
      <c r="BB186" s="35">
        <f t="shared" si="100"/>
        <v>43.95</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1272">
        <v>175</v>
      </c>
      <c r="B187" s="34"/>
      <c r="C187" s="34"/>
      <c r="D187" s="2952" t="s">
        <v>3068</v>
      </c>
      <c r="E187" s="16">
        <f t="shared" si="119"/>
        <v>4.7699999999999996</v>
      </c>
      <c r="F187" s="36"/>
      <c r="G187" s="37">
        <f t="shared" si="94"/>
        <v>42.59</v>
      </c>
      <c r="H187" s="38">
        <f t="shared" si="95"/>
        <v>42.59</v>
      </c>
      <c r="I187" s="2957">
        <v>42.59</v>
      </c>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175</v>
      </c>
      <c r="AW187" s="1795">
        <f t="shared" si="121"/>
        <v>0</v>
      </c>
      <c r="AX187" s="1795">
        <f t="shared" si="122"/>
        <v>0</v>
      </c>
      <c r="AY187" s="42">
        <f t="shared" si="97"/>
        <v>4.7699999999999996</v>
      </c>
      <c r="AZ187" s="35">
        <f t="shared" si="98"/>
        <v>42.59</v>
      </c>
      <c r="BA187" s="35">
        <f t="shared" si="99"/>
        <v>42.59</v>
      </c>
      <c r="BB187" s="35">
        <f t="shared" si="100"/>
        <v>42.59</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1272">
        <v>176</v>
      </c>
      <c r="B188" s="34"/>
      <c r="C188" s="34"/>
      <c r="D188" s="2952" t="s">
        <v>3068</v>
      </c>
      <c r="E188" s="16">
        <f t="shared" si="119"/>
        <v>4.8499999999999996</v>
      </c>
      <c r="F188" s="36"/>
      <c r="G188" s="37">
        <f t="shared" si="94"/>
        <v>43.3</v>
      </c>
      <c r="H188" s="38">
        <f t="shared" si="95"/>
        <v>43.3</v>
      </c>
      <c r="I188" s="2957">
        <v>43.3</v>
      </c>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176</v>
      </c>
      <c r="AW188" s="1795">
        <f t="shared" si="121"/>
        <v>0</v>
      </c>
      <c r="AX188" s="1795">
        <f t="shared" si="122"/>
        <v>0</v>
      </c>
      <c r="AY188" s="42">
        <f t="shared" si="97"/>
        <v>4.8499999999999996</v>
      </c>
      <c r="AZ188" s="35">
        <f t="shared" si="98"/>
        <v>43.3</v>
      </c>
      <c r="BA188" s="35">
        <f t="shared" si="99"/>
        <v>43.3</v>
      </c>
      <c r="BB188" s="35">
        <f t="shared" si="100"/>
        <v>43.3</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1272">
        <v>177</v>
      </c>
      <c r="B189" s="34"/>
      <c r="C189" s="34"/>
      <c r="D189" s="2952" t="s">
        <v>3068</v>
      </c>
      <c r="E189" s="16">
        <f t="shared" si="119"/>
        <v>3.59</v>
      </c>
      <c r="F189" s="36"/>
      <c r="G189" s="37">
        <f t="shared" si="94"/>
        <v>32.04</v>
      </c>
      <c r="H189" s="38">
        <f t="shared" si="95"/>
        <v>32.04</v>
      </c>
      <c r="I189" s="2957">
        <v>32.04</v>
      </c>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177</v>
      </c>
      <c r="AW189" s="1795">
        <f t="shared" si="121"/>
        <v>0</v>
      </c>
      <c r="AX189" s="1795">
        <f t="shared" si="122"/>
        <v>0</v>
      </c>
      <c r="AY189" s="42">
        <f t="shared" si="97"/>
        <v>3.59</v>
      </c>
      <c r="AZ189" s="35">
        <f t="shared" si="98"/>
        <v>32.04</v>
      </c>
      <c r="BA189" s="35">
        <f t="shared" si="99"/>
        <v>32.04</v>
      </c>
      <c r="BB189" s="35">
        <f t="shared" si="100"/>
        <v>32.04</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1272">
        <v>178</v>
      </c>
      <c r="B190" s="34"/>
      <c r="C190" s="34"/>
      <c r="D190" s="2952" t="s">
        <v>3068</v>
      </c>
      <c r="E190" s="16">
        <f t="shared" si="119"/>
        <v>1.28</v>
      </c>
      <c r="F190" s="36"/>
      <c r="G190" s="37">
        <f t="shared" si="94"/>
        <v>11.44</v>
      </c>
      <c r="H190" s="38">
        <f t="shared" si="95"/>
        <v>11.44</v>
      </c>
      <c r="I190" s="2957">
        <v>11.44</v>
      </c>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178</v>
      </c>
      <c r="AW190" s="1795">
        <f t="shared" si="121"/>
        <v>0</v>
      </c>
      <c r="AX190" s="1795">
        <f t="shared" si="122"/>
        <v>0</v>
      </c>
      <c r="AY190" s="42">
        <f t="shared" si="97"/>
        <v>1.28</v>
      </c>
      <c r="AZ190" s="35">
        <f t="shared" si="98"/>
        <v>11.44</v>
      </c>
      <c r="BA190" s="35">
        <f t="shared" si="99"/>
        <v>11.44</v>
      </c>
      <c r="BB190" s="35">
        <f t="shared" si="100"/>
        <v>11.44</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1272">
        <v>179</v>
      </c>
      <c r="B191" s="34"/>
      <c r="C191" s="34"/>
      <c r="D191" s="2952" t="s">
        <v>3068</v>
      </c>
      <c r="E191" s="16">
        <f t="shared" si="119"/>
        <v>1.28</v>
      </c>
      <c r="F191" s="36"/>
      <c r="G191" s="37">
        <f t="shared" si="94"/>
        <v>11.44</v>
      </c>
      <c r="H191" s="38">
        <f t="shared" si="95"/>
        <v>11.44</v>
      </c>
      <c r="I191" s="2957">
        <v>11.44</v>
      </c>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179</v>
      </c>
      <c r="AW191" s="1795">
        <f t="shared" si="121"/>
        <v>0</v>
      </c>
      <c r="AX191" s="1795">
        <f t="shared" si="122"/>
        <v>0</v>
      </c>
      <c r="AY191" s="42">
        <f t="shared" si="97"/>
        <v>1.28</v>
      </c>
      <c r="AZ191" s="35">
        <f t="shared" si="98"/>
        <v>11.44</v>
      </c>
      <c r="BA191" s="35">
        <f t="shared" si="99"/>
        <v>11.44</v>
      </c>
      <c r="BB191" s="35">
        <f t="shared" si="100"/>
        <v>11.44</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1272">
        <v>180</v>
      </c>
      <c r="B192" s="34"/>
      <c r="C192" s="34"/>
      <c r="D192" s="2952" t="s">
        <v>3068</v>
      </c>
      <c r="E192" s="16">
        <f t="shared" si="119"/>
        <v>1.28</v>
      </c>
      <c r="F192" s="36"/>
      <c r="G192" s="37">
        <f t="shared" si="94"/>
        <v>11.44</v>
      </c>
      <c r="H192" s="38">
        <f t="shared" si="95"/>
        <v>11.44</v>
      </c>
      <c r="I192" s="2957">
        <v>11.44</v>
      </c>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180</v>
      </c>
      <c r="AW192" s="1795">
        <f t="shared" si="121"/>
        <v>0</v>
      </c>
      <c r="AX192" s="1795">
        <f t="shared" si="122"/>
        <v>0</v>
      </c>
      <c r="AY192" s="42">
        <f t="shared" si="97"/>
        <v>1.28</v>
      </c>
      <c r="AZ192" s="35">
        <f t="shared" si="98"/>
        <v>11.44</v>
      </c>
      <c r="BA192" s="35">
        <f t="shared" si="99"/>
        <v>11.44</v>
      </c>
      <c r="BB192" s="35">
        <f t="shared" si="100"/>
        <v>11.44</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1272">
        <v>181</v>
      </c>
      <c r="B193" s="34"/>
      <c r="C193" s="34"/>
      <c r="D193" s="2952" t="s">
        <v>3068</v>
      </c>
      <c r="E193" s="16">
        <f t="shared" si="119"/>
        <v>1.28</v>
      </c>
      <c r="F193" s="36"/>
      <c r="G193" s="37">
        <f t="shared" si="94"/>
        <v>11.44</v>
      </c>
      <c r="H193" s="38">
        <f t="shared" si="95"/>
        <v>11.44</v>
      </c>
      <c r="I193" s="2957">
        <v>11.44</v>
      </c>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181</v>
      </c>
      <c r="AW193" s="1795">
        <f t="shared" si="121"/>
        <v>0</v>
      </c>
      <c r="AX193" s="1795">
        <f t="shared" si="122"/>
        <v>0</v>
      </c>
      <c r="AY193" s="42">
        <f t="shared" si="97"/>
        <v>1.28</v>
      </c>
      <c r="AZ193" s="35">
        <f t="shared" si="98"/>
        <v>11.44</v>
      </c>
      <c r="BA193" s="35">
        <f t="shared" si="99"/>
        <v>11.44</v>
      </c>
      <c r="BB193" s="35">
        <f t="shared" si="100"/>
        <v>11.44</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1272">
        <v>182</v>
      </c>
      <c r="B194" s="34"/>
      <c r="C194" s="34"/>
      <c r="D194" s="2952" t="s">
        <v>3068</v>
      </c>
      <c r="E194" s="16">
        <f t="shared" si="119"/>
        <v>1.28</v>
      </c>
      <c r="F194" s="36"/>
      <c r="G194" s="37">
        <f t="shared" si="94"/>
        <v>11.44</v>
      </c>
      <c r="H194" s="38">
        <f t="shared" si="95"/>
        <v>11.44</v>
      </c>
      <c r="I194" s="2957">
        <v>11.44</v>
      </c>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182</v>
      </c>
      <c r="AW194" s="1795">
        <f t="shared" si="121"/>
        <v>0</v>
      </c>
      <c r="AX194" s="1795">
        <f t="shared" si="122"/>
        <v>0</v>
      </c>
      <c r="AY194" s="42">
        <f t="shared" si="97"/>
        <v>1.28</v>
      </c>
      <c r="AZ194" s="35">
        <f t="shared" si="98"/>
        <v>11.44</v>
      </c>
      <c r="BA194" s="35">
        <f t="shared" si="99"/>
        <v>11.44</v>
      </c>
      <c r="BB194" s="35">
        <f t="shared" si="100"/>
        <v>11.44</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1272">
        <v>183</v>
      </c>
      <c r="B195" s="34"/>
      <c r="C195" s="34"/>
      <c r="D195" s="2952" t="s">
        <v>3068</v>
      </c>
      <c r="E195" s="16">
        <f t="shared" si="119"/>
        <v>1.28</v>
      </c>
      <c r="F195" s="36"/>
      <c r="G195" s="37">
        <f t="shared" si="94"/>
        <v>11.44</v>
      </c>
      <c r="H195" s="38">
        <f t="shared" si="95"/>
        <v>11.44</v>
      </c>
      <c r="I195" s="2957">
        <v>11.44</v>
      </c>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183</v>
      </c>
      <c r="AW195" s="1795">
        <f t="shared" si="121"/>
        <v>0</v>
      </c>
      <c r="AX195" s="1795">
        <f t="shared" si="122"/>
        <v>0</v>
      </c>
      <c r="AY195" s="42">
        <f t="shared" si="97"/>
        <v>1.28</v>
      </c>
      <c r="AZ195" s="35">
        <f t="shared" si="98"/>
        <v>11.44</v>
      </c>
      <c r="BA195" s="35">
        <f t="shared" si="99"/>
        <v>11.44</v>
      </c>
      <c r="BB195" s="35">
        <f t="shared" si="100"/>
        <v>11.44</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1272">
        <v>184</v>
      </c>
      <c r="B196" s="34"/>
      <c r="C196" s="34"/>
      <c r="D196" s="2952" t="s">
        <v>3068</v>
      </c>
      <c r="E196" s="16">
        <f t="shared" si="119"/>
        <v>1.28</v>
      </c>
      <c r="F196" s="36"/>
      <c r="G196" s="37">
        <f t="shared" si="94"/>
        <v>11.44</v>
      </c>
      <c r="H196" s="38">
        <f t="shared" si="95"/>
        <v>11.44</v>
      </c>
      <c r="I196" s="2957">
        <v>11.44</v>
      </c>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184</v>
      </c>
      <c r="AW196" s="1795">
        <f t="shared" si="121"/>
        <v>0</v>
      </c>
      <c r="AX196" s="1795">
        <f t="shared" si="122"/>
        <v>0</v>
      </c>
      <c r="AY196" s="42">
        <f t="shared" si="97"/>
        <v>1.28</v>
      </c>
      <c r="AZ196" s="35">
        <f t="shared" si="98"/>
        <v>11.44</v>
      </c>
      <c r="BA196" s="35">
        <f t="shared" si="99"/>
        <v>11.44</v>
      </c>
      <c r="BB196" s="35">
        <f t="shared" si="100"/>
        <v>11.44</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1272">
        <v>185</v>
      </c>
      <c r="B197" s="34"/>
      <c r="C197" s="34"/>
      <c r="D197" s="2952" t="s">
        <v>3068</v>
      </c>
      <c r="E197" s="16">
        <f t="shared" si="119"/>
        <v>1.28</v>
      </c>
      <c r="F197" s="36"/>
      <c r="G197" s="37">
        <f t="shared" si="94"/>
        <v>11.44</v>
      </c>
      <c r="H197" s="38">
        <f t="shared" si="95"/>
        <v>11.44</v>
      </c>
      <c r="I197" s="2957">
        <v>11.44</v>
      </c>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185</v>
      </c>
      <c r="AW197" s="1795">
        <f t="shared" si="121"/>
        <v>0</v>
      </c>
      <c r="AX197" s="1795">
        <f t="shared" si="122"/>
        <v>0</v>
      </c>
      <c r="AY197" s="42">
        <f t="shared" si="97"/>
        <v>1.28</v>
      </c>
      <c r="AZ197" s="35">
        <f t="shared" si="98"/>
        <v>11.44</v>
      </c>
      <c r="BA197" s="35">
        <f t="shared" si="99"/>
        <v>11.44</v>
      </c>
      <c r="BB197" s="35">
        <f t="shared" si="100"/>
        <v>11.44</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1272">
        <v>186</v>
      </c>
      <c r="B198" s="34"/>
      <c r="C198" s="34"/>
      <c r="D198" s="2952" t="s">
        <v>3068</v>
      </c>
      <c r="E198" s="16">
        <f t="shared" si="119"/>
        <v>1.28</v>
      </c>
      <c r="F198" s="36"/>
      <c r="G198" s="37">
        <f t="shared" si="94"/>
        <v>11.44</v>
      </c>
      <c r="H198" s="38">
        <f t="shared" si="95"/>
        <v>11.44</v>
      </c>
      <c r="I198" s="2957">
        <v>11.44</v>
      </c>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186</v>
      </c>
      <c r="AW198" s="1795">
        <f t="shared" si="121"/>
        <v>0</v>
      </c>
      <c r="AX198" s="1795">
        <f t="shared" si="122"/>
        <v>0</v>
      </c>
      <c r="AY198" s="42">
        <f t="shared" si="97"/>
        <v>1.28</v>
      </c>
      <c r="AZ198" s="35">
        <f t="shared" si="98"/>
        <v>11.44</v>
      </c>
      <c r="BA198" s="35">
        <f t="shared" si="99"/>
        <v>11.44</v>
      </c>
      <c r="BB198" s="35">
        <f t="shared" si="100"/>
        <v>11.44</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1272">
        <v>187</v>
      </c>
      <c r="B199" s="34"/>
      <c r="C199" s="34"/>
      <c r="D199" s="2952" t="s">
        <v>3068</v>
      </c>
      <c r="E199" s="16">
        <f t="shared" si="119"/>
        <v>1.28</v>
      </c>
      <c r="F199" s="36"/>
      <c r="G199" s="37">
        <f t="shared" si="94"/>
        <v>11.44</v>
      </c>
      <c r="H199" s="38">
        <f t="shared" si="95"/>
        <v>11.44</v>
      </c>
      <c r="I199" s="2957">
        <v>11.44</v>
      </c>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187</v>
      </c>
      <c r="AW199" s="1795">
        <f t="shared" si="121"/>
        <v>0</v>
      </c>
      <c r="AX199" s="1795">
        <f t="shared" si="122"/>
        <v>0</v>
      </c>
      <c r="AY199" s="42">
        <f t="shared" si="97"/>
        <v>1.28</v>
      </c>
      <c r="AZ199" s="35">
        <f t="shared" si="98"/>
        <v>11.44</v>
      </c>
      <c r="BA199" s="35">
        <f t="shared" si="99"/>
        <v>11.44</v>
      </c>
      <c r="BB199" s="35">
        <f t="shared" si="100"/>
        <v>11.44</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1272">
        <v>188</v>
      </c>
      <c r="B200" s="34"/>
      <c r="C200" s="34"/>
      <c r="D200" s="2952" t="s">
        <v>3068</v>
      </c>
      <c r="E200" s="16">
        <f t="shared" si="119"/>
        <v>1.28</v>
      </c>
      <c r="F200" s="36"/>
      <c r="G200" s="37">
        <f t="shared" si="94"/>
        <v>11.44</v>
      </c>
      <c r="H200" s="38">
        <f t="shared" si="95"/>
        <v>11.44</v>
      </c>
      <c r="I200" s="2957">
        <v>11.44</v>
      </c>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188</v>
      </c>
      <c r="AW200" s="1795">
        <f t="shared" si="121"/>
        <v>0</v>
      </c>
      <c r="AX200" s="1795">
        <f t="shared" si="122"/>
        <v>0</v>
      </c>
      <c r="AY200" s="42">
        <f t="shared" si="97"/>
        <v>1.28</v>
      </c>
      <c r="AZ200" s="35">
        <f t="shared" si="98"/>
        <v>11.44</v>
      </c>
      <c r="BA200" s="35">
        <f t="shared" si="99"/>
        <v>11.44</v>
      </c>
      <c r="BB200" s="35">
        <f t="shared" si="100"/>
        <v>11.44</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1272">
        <v>189</v>
      </c>
      <c r="B201" s="34"/>
      <c r="C201" s="34"/>
      <c r="D201" s="2952" t="s">
        <v>3068</v>
      </c>
      <c r="E201" s="16">
        <f t="shared" si="119"/>
        <v>1.28</v>
      </c>
      <c r="F201" s="36"/>
      <c r="G201" s="37">
        <f t="shared" si="94"/>
        <v>11.44</v>
      </c>
      <c r="H201" s="38">
        <f t="shared" si="95"/>
        <v>11.44</v>
      </c>
      <c r="I201" s="2957">
        <v>11.44</v>
      </c>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189</v>
      </c>
      <c r="AW201" s="1795">
        <f t="shared" si="121"/>
        <v>0</v>
      </c>
      <c r="AX201" s="1795">
        <f t="shared" si="122"/>
        <v>0</v>
      </c>
      <c r="AY201" s="42">
        <f t="shared" si="97"/>
        <v>1.28</v>
      </c>
      <c r="AZ201" s="35">
        <f t="shared" si="98"/>
        <v>11.44</v>
      </c>
      <c r="BA201" s="35">
        <f t="shared" si="99"/>
        <v>11.44</v>
      </c>
      <c r="BB201" s="35">
        <f t="shared" si="100"/>
        <v>11.44</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1272">
        <v>190</v>
      </c>
      <c r="B202" s="34"/>
      <c r="C202" s="34"/>
      <c r="D202" s="2952" t="s">
        <v>3068</v>
      </c>
      <c r="E202" s="16">
        <f t="shared" si="119"/>
        <v>1.28</v>
      </c>
      <c r="F202" s="36"/>
      <c r="G202" s="37">
        <f t="shared" si="94"/>
        <v>11.44</v>
      </c>
      <c r="H202" s="38">
        <f t="shared" si="95"/>
        <v>11.44</v>
      </c>
      <c r="I202" s="2957">
        <v>11.44</v>
      </c>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190</v>
      </c>
      <c r="AW202" s="1795">
        <f t="shared" si="121"/>
        <v>0</v>
      </c>
      <c r="AX202" s="1795">
        <f t="shared" si="122"/>
        <v>0</v>
      </c>
      <c r="AY202" s="42">
        <f t="shared" si="97"/>
        <v>1.28</v>
      </c>
      <c r="AZ202" s="35">
        <f t="shared" si="98"/>
        <v>11.44</v>
      </c>
      <c r="BA202" s="35">
        <f t="shared" si="99"/>
        <v>11.44</v>
      </c>
      <c r="BB202" s="35">
        <f t="shared" si="100"/>
        <v>11.44</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1272">
        <v>191</v>
      </c>
      <c r="B203" s="34"/>
      <c r="C203" s="34"/>
      <c r="D203" s="2952" t="s">
        <v>3068</v>
      </c>
      <c r="E203" s="16">
        <f t="shared" si="119"/>
        <v>1.28</v>
      </c>
      <c r="F203" s="36"/>
      <c r="G203" s="37">
        <f t="shared" si="94"/>
        <v>11.44</v>
      </c>
      <c r="H203" s="38">
        <f t="shared" si="95"/>
        <v>11.44</v>
      </c>
      <c r="I203" s="2957">
        <v>11.44</v>
      </c>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191</v>
      </c>
      <c r="AW203" s="1795">
        <f t="shared" si="121"/>
        <v>0</v>
      </c>
      <c r="AX203" s="1795">
        <f t="shared" si="122"/>
        <v>0</v>
      </c>
      <c r="AY203" s="42">
        <f t="shared" si="97"/>
        <v>1.28</v>
      </c>
      <c r="AZ203" s="35">
        <f t="shared" si="98"/>
        <v>11.44</v>
      </c>
      <c r="BA203" s="35">
        <f t="shared" si="99"/>
        <v>11.44</v>
      </c>
      <c r="BB203" s="35">
        <f t="shared" si="100"/>
        <v>11.44</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1272">
        <v>192</v>
      </c>
      <c r="B204" s="34"/>
      <c r="C204" s="34"/>
      <c r="D204" s="2952" t="s">
        <v>3068</v>
      </c>
      <c r="E204" s="16">
        <f t="shared" si="119"/>
        <v>1.38</v>
      </c>
      <c r="F204" s="36"/>
      <c r="G204" s="37">
        <f t="shared" si="94"/>
        <v>12.28</v>
      </c>
      <c r="H204" s="38">
        <f t="shared" si="95"/>
        <v>12.28</v>
      </c>
      <c r="I204" s="2957">
        <v>12.28</v>
      </c>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192</v>
      </c>
      <c r="AW204" s="1795">
        <f t="shared" si="121"/>
        <v>0</v>
      </c>
      <c r="AX204" s="1795">
        <f t="shared" si="122"/>
        <v>0</v>
      </c>
      <c r="AY204" s="42">
        <f t="shared" si="97"/>
        <v>1.38</v>
      </c>
      <c r="AZ204" s="35">
        <f t="shared" si="98"/>
        <v>12.28</v>
      </c>
      <c r="BA204" s="35">
        <f t="shared" si="99"/>
        <v>12.28</v>
      </c>
      <c r="BB204" s="35">
        <f t="shared" si="100"/>
        <v>12.28</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1272">
        <v>193</v>
      </c>
      <c r="B205" s="9"/>
      <c r="C205" s="9"/>
      <c r="D205" s="2952" t="s">
        <v>3068</v>
      </c>
      <c r="E205" s="16">
        <f t="shared" si="119"/>
        <v>1.38</v>
      </c>
      <c r="F205" s="44"/>
      <c r="G205" s="37">
        <f t="shared" si="94"/>
        <v>12.28</v>
      </c>
      <c r="H205" s="38">
        <f t="shared" si="95"/>
        <v>12.28</v>
      </c>
      <c r="I205" s="2957">
        <v>12.28</v>
      </c>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193</v>
      </c>
      <c r="AW205" s="1795">
        <f t="shared" si="121"/>
        <v>0</v>
      </c>
      <c r="AX205" s="1795">
        <f t="shared" si="122"/>
        <v>0</v>
      </c>
      <c r="AY205" s="42">
        <f t="shared" si="97"/>
        <v>1.38</v>
      </c>
      <c r="AZ205" s="35">
        <f t="shared" si="98"/>
        <v>12.28</v>
      </c>
      <c r="BA205" s="35">
        <f t="shared" si="99"/>
        <v>12.28</v>
      </c>
      <c r="BB205" s="35">
        <f t="shared" si="100"/>
        <v>12.28</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1272">
        <v>194</v>
      </c>
      <c r="B206" s="9"/>
      <c r="C206" s="9"/>
      <c r="D206" s="2952" t="s">
        <v>3068</v>
      </c>
      <c r="E206" s="16">
        <f t="shared" si="119"/>
        <v>1.24</v>
      </c>
      <c r="F206" s="44"/>
      <c r="G206" s="37">
        <f>H206+AC206+AT206</f>
        <v>11.08</v>
      </c>
      <c r="H206" s="38">
        <f>SUMIF(I$12:AB$12,"总值",I206:AB206)</f>
        <v>11.08</v>
      </c>
      <c r="I206" s="2957">
        <v>11.08</v>
      </c>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194</v>
      </c>
      <c r="AW206" s="1795">
        <f t="shared" si="121"/>
        <v>0</v>
      </c>
      <c r="AX206" s="1795">
        <f t="shared" si="122"/>
        <v>0</v>
      </c>
      <c r="AY206" s="42">
        <f>ROUND($AY$6*AZ206/$AZ$5,2)</f>
        <v>1.24</v>
      </c>
      <c r="AZ206" s="35">
        <f>BA206+BL206</f>
        <v>11.08</v>
      </c>
      <c r="BA206" s="35">
        <f>SUM(BB206:BK206)</f>
        <v>11.08</v>
      </c>
      <c r="BB206" s="35">
        <f t="shared" si="100"/>
        <v>11.08</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1272">
        <v>195</v>
      </c>
      <c r="B207" s="9"/>
      <c r="C207" s="9"/>
      <c r="D207" s="2952" t="s">
        <v>3068</v>
      </c>
      <c r="E207" s="16">
        <f t="shared" si="119"/>
        <v>1.28</v>
      </c>
      <c r="F207" s="44"/>
      <c r="G207" s="37">
        <f>H207+AC207+AT207</f>
        <v>11.39</v>
      </c>
      <c r="H207" s="38">
        <f>SUMIF(I$12:AB$12,"总值",I207:AB207)</f>
        <v>11.39</v>
      </c>
      <c r="I207" s="2957">
        <v>11.39</v>
      </c>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195</v>
      </c>
      <c r="AW207" s="1795">
        <f t="shared" si="121"/>
        <v>0</v>
      </c>
      <c r="AX207" s="1795">
        <f t="shared" si="122"/>
        <v>0</v>
      </c>
      <c r="AY207" s="42">
        <f>ROUND($AY$6*AZ207/$AZ$5,2)</f>
        <v>1.28</v>
      </c>
      <c r="AZ207" s="35">
        <f>BA207+BL207</f>
        <v>11.39</v>
      </c>
      <c r="BA207" s="35">
        <f>SUM(BB207:BK207)</f>
        <v>11.39</v>
      </c>
      <c r="BB207" s="35">
        <f t="shared" si="100"/>
        <v>11.39</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1272">
        <v>196</v>
      </c>
      <c r="B208" s="34"/>
      <c r="C208" s="34"/>
      <c r="D208" s="2952" t="s">
        <v>3068</v>
      </c>
      <c r="E208" s="16">
        <f t="shared" ref="E208:E302" si="123">IF($C$3="是",ROUND($A$3*G208/$B$3,2),ROUND($A$3*(G208-AT208)/$B$3,2))</f>
        <v>1.28</v>
      </c>
      <c r="F208" s="36"/>
      <c r="G208" s="37">
        <f t="shared" ref="G208:G299" si="124">H208+AC208+AT208</f>
        <v>11.39</v>
      </c>
      <c r="H208" s="38">
        <f t="shared" ref="H208:H299" si="125">SUMIF(I$12:AB$12,"总值",I208:AB208)</f>
        <v>11.39</v>
      </c>
      <c r="I208" s="2957">
        <v>11.39</v>
      </c>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196</v>
      </c>
      <c r="AW208" s="1795">
        <f t="shared" ref="AW208:AW302" si="128">B208</f>
        <v>0</v>
      </c>
      <c r="AX208" s="1795">
        <f t="shared" ref="AX208:AX302" si="129">C208</f>
        <v>0</v>
      </c>
      <c r="AY208" s="42">
        <f t="shared" ref="AY208:AY299" si="130">ROUND($AY$6*AZ208/$AZ$5,2)</f>
        <v>1.28</v>
      </c>
      <c r="AZ208" s="35">
        <f t="shared" ref="AZ208:AZ299" si="131">BA208+BL208</f>
        <v>11.39</v>
      </c>
      <c r="BA208" s="35">
        <f t="shared" ref="BA208:BA299" si="132">SUM(BB208:BK208)</f>
        <v>11.39</v>
      </c>
      <c r="BB208" s="35">
        <f t="shared" ref="BB208:BB299" si="133">IF($D208="是",I208-J208,0)</f>
        <v>11.39</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1272">
        <v>197</v>
      </c>
      <c r="B209" s="34"/>
      <c r="C209" s="34"/>
      <c r="D209" s="2952" t="s">
        <v>3068</v>
      </c>
      <c r="E209" s="16">
        <f t="shared" si="123"/>
        <v>1.28</v>
      </c>
      <c r="F209" s="36"/>
      <c r="G209" s="37">
        <f t="shared" si="124"/>
        <v>11.39</v>
      </c>
      <c r="H209" s="38">
        <f t="shared" si="125"/>
        <v>11.39</v>
      </c>
      <c r="I209" s="2957">
        <v>11.39</v>
      </c>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197</v>
      </c>
      <c r="AW209" s="1795">
        <f t="shared" si="128"/>
        <v>0</v>
      </c>
      <c r="AX209" s="1795">
        <f t="shared" si="129"/>
        <v>0</v>
      </c>
      <c r="AY209" s="42">
        <f t="shared" si="130"/>
        <v>1.28</v>
      </c>
      <c r="AZ209" s="35">
        <f t="shared" si="131"/>
        <v>11.39</v>
      </c>
      <c r="BA209" s="35">
        <f t="shared" si="132"/>
        <v>11.39</v>
      </c>
      <c r="BB209" s="35">
        <f t="shared" si="133"/>
        <v>11.39</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1272">
        <v>198</v>
      </c>
      <c r="B210" s="34"/>
      <c r="C210" s="34"/>
      <c r="D210" s="2952" t="s">
        <v>3068</v>
      </c>
      <c r="E210" s="16">
        <f t="shared" si="123"/>
        <v>1.28</v>
      </c>
      <c r="F210" s="36"/>
      <c r="G210" s="37">
        <f t="shared" si="124"/>
        <v>11.39</v>
      </c>
      <c r="H210" s="38">
        <f t="shared" si="125"/>
        <v>11.39</v>
      </c>
      <c r="I210" s="2212">
        <v>11.39</v>
      </c>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198</v>
      </c>
      <c r="AW210" s="1795">
        <f t="shared" si="128"/>
        <v>0</v>
      </c>
      <c r="AX210" s="1795">
        <f t="shared" si="129"/>
        <v>0</v>
      </c>
      <c r="AY210" s="42">
        <f t="shared" si="130"/>
        <v>1.28</v>
      </c>
      <c r="AZ210" s="35">
        <f t="shared" si="131"/>
        <v>11.39</v>
      </c>
      <c r="BA210" s="35">
        <f t="shared" si="132"/>
        <v>11.39</v>
      </c>
      <c r="BB210" s="35">
        <f t="shared" si="133"/>
        <v>11.39</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1272">
        <v>199</v>
      </c>
      <c r="B211" s="34"/>
      <c r="C211" s="34"/>
      <c r="D211" s="2952" t="s">
        <v>3068</v>
      </c>
      <c r="E211" s="16">
        <f t="shared" si="123"/>
        <v>1.28</v>
      </c>
      <c r="F211" s="36"/>
      <c r="G211" s="37">
        <f t="shared" si="124"/>
        <v>11.39</v>
      </c>
      <c r="H211" s="38">
        <f t="shared" si="125"/>
        <v>11.39</v>
      </c>
      <c r="I211" s="2212">
        <v>11.39</v>
      </c>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199</v>
      </c>
      <c r="AW211" s="1795">
        <f t="shared" si="128"/>
        <v>0</v>
      </c>
      <c r="AX211" s="1795">
        <f t="shared" si="129"/>
        <v>0</v>
      </c>
      <c r="AY211" s="42">
        <f t="shared" si="130"/>
        <v>1.28</v>
      </c>
      <c r="AZ211" s="35">
        <f t="shared" si="131"/>
        <v>11.39</v>
      </c>
      <c r="BA211" s="35">
        <f t="shared" si="132"/>
        <v>11.39</v>
      </c>
      <c r="BB211" s="35">
        <f t="shared" si="133"/>
        <v>11.39</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1272">
        <v>200</v>
      </c>
      <c r="B212" s="34"/>
      <c r="C212" s="34"/>
      <c r="D212" s="2952" t="s">
        <v>3068</v>
      </c>
      <c r="E212" s="16">
        <f t="shared" si="123"/>
        <v>1.31</v>
      </c>
      <c r="F212" s="36"/>
      <c r="G212" s="37">
        <f t="shared" si="124"/>
        <v>11.7</v>
      </c>
      <c r="H212" s="38">
        <f t="shared" si="125"/>
        <v>11.7</v>
      </c>
      <c r="I212" s="2212">
        <v>11.7</v>
      </c>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200</v>
      </c>
      <c r="AW212" s="1795">
        <f t="shared" si="128"/>
        <v>0</v>
      </c>
      <c r="AX212" s="1795">
        <f t="shared" si="129"/>
        <v>0</v>
      </c>
      <c r="AY212" s="42">
        <f t="shared" si="130"/>
        <v>1.31</v>
      </c>
      <c r="AZ212" s="35">
        <f t="shared" si="131"/>
        <v>11.7</v>
      </c>
      <c r="BA212" s="35">
        <f t="shared" si="132"/>
        <v>11.7</v>
      </c>
      <c r="BB212" s="35">
        <f t="shared" si="133"/>
        <v>11.7</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1272">
        <v>201</v>
      </c>
      <c r="B213" s="34"/>
      <c r="C213" s="34"/>
      <c r="D213" s="2952" t="s">
        <v>3068</v>
      </c>
      <c r="E213" s="16">
        <f t="shared" si="123"/>
        <v>1.81</v>
      </c>
      <c r="F213" s="36"/>
      <c r="G213" s="37">
        <f t="shared" si="124"/>
        <v>16.14</v>
      </c>
      <c r="H213" s="38">
        <f t="shared" si="125"/>
        <v>16.14</v>
      </c>
      <c r="I213" s="2212">
        <v>16.14</v>
      </c>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201</v>
      </c>
      <c r="AW213" s="1795">
        <f t="shared" si="128"/>
        <v>0</v>
      </c>
      <c r="AX213" s="1795">
        <f t="shared" si="129"/>
        <v>0</v>
      </c>
      <c r="AY213" s="42">
        <f t="shared" si="130"/>
        <v>1.81</v>
      </c>
      <c r="AZ213" s="35">
        <f t="shared" si="131"/>
        <v>16.14</v>
      </c>
      <c r="BA213" s="35">
        <f t="shared" si="132"/>
        <v>16.14</v>
      </c>
      <c r="BB213" s="35">
        <f t="shared" si="133"/>
        <v>16.14</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1272">
        <v>202</v>
      </c>
      <c r="B214" s="34"/>
      <c r="C214" s="34"/>
      <c r="D214" s="2952" t="s">
        <v>3068</v>
      </c>
      <c r="E214" s="16">
        <f t="shared" si="123"/>
        <v>1.84</v>
      </c>
      <c r="F214" s="36"/>
      <c r="G214" s="37">
        <f t="shared" si="124"/>
        <v>16.39</v>
      </c>
      <c r="H214" s="38">
        <f t="shared" si="125"/>
        <v>16.39</v>
      </c>
      <c r="I214" s="2212">
        <v>16.39</v>
      </c>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202</v>
      </c>
      <c r="AW214" s="1795">
        <f t="shared" si="128"/>
        <v>0</v>
      </c>
      <c r="AX214" s="1795">
        <f t="shared" si="129"/>
        <v>0</v>
      </c>
      <c r="AY214" s="42">
        <f t="shared" si="130"/>
        <v>1.84</v>
      </c>
      <c r="AZ214" s="35">
        <f t="shared" si="131"/>
        <v>16.39</v>
      </c>
      <c r="BA214" s="35">
        <f t="shared" si="132"/>
        <v>16.39</v>
      </c>
      <c r="BB214" s="35">
        <f t="shared" si="133"/>
        <v>16.39</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1272">
        <v>203</v>
      </c>
      <c r="B215" s="34"/>
      <c r="C215" s="34"/>
      <c r="D215" s="2952" t="s">
        <v>3068</v>
      </c>
      <c r="E215" s="16">
        <f t="shared" si="123"/>
        <v>1.28</v>
      </c>
      <c r="F215" s="36"/>
      <c r="G215" s="37">
        <f t="shared" si="124"/>
        <v>11.44</v>
      </c>
      <c r="H215" s="38">
        <f t="shared" si="125"/>
        <v>11.44</v>
      </c>
      <c r="I215" s="2212">
        <v>11.44</v>
      </c>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203</v>
      </c>
      <c r="AW215" s="1795">
        <f t="shared" si="128"/>
        <v>0</v>
      </c>
      <c r="AX215" s="1795">
        <f t="shared" si="129"/>
        <v>0</v>
      </c>
      <c r="AY215" s="42">
        <f t="shared" si="130"/>
        <v>1.28</v>
      </c>
      <c r="AZ215" s="35">
        <f t="shared" si="131"/>
        <v>11.44</v>
      </c>
      <c r="BA215" s="35">
        <f t="shared" si="132"/>
        <v>11.44</v>
      </c>
      <c r="BB215" s="35">
        <f t="shared" si="133"/>
        <v>11.44</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1272">
        <v>204</v>
      </c>
      <c r="B216" s="34"/>
      <c r="C216" s="34"/>
      <c r="D216" s="2952" t="s">
        <v>3068</v>
      </c>
      <c r="E216" s="16">
        <f t="shared" si="123"/>
        <v>1.28</v>
      </c>
      <c r="F216" s="36"/>
      <c r="G216" s="37">
        <f t="shared" si="124"/>
        <v>11.44</v>
      </c>
      <c r="H216" s="38">
        <f t="shared" si="125"/>
        <v>11.44</v>
      </c>
      <c r="I216" s="2212">
        <v>11.44</v>
      </c>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204</v>
      </c>
      <c r="AW216" s="1795">
        <f t="shared" si="128"/>
        <v>0</v>
      </c>
      <c r="AX216" s="1795">
        <f t="shared" si="129"/>
        <v>0</v>
      </c>
      <c r="AY216" s="42">
        <f t="shared" si="130"/>
        <v>1.28</v>
      </c>
      <c r="AZ216" s="35">
        <f t="shared" si="131"/>
        <v>11.44</v>
      </c>
      <c r="BA216" s="35">
        <f t="shared" si="132"/>
        <v>11.44</v>
      </c>
      <c r="BB216" s="35">
        <f t="shared" si="133"/>
        <v>11.44</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1272">
        <v>205</v>
      </c>
      <c r="B217" s="34"/>
      <c r="C217" s="34"/>
      <c r="D217" s="2952" t="s">
        <v>3068</v>
      </c>
      <c r="E217" s="16">
        <f t="shared" si="123"/>
        <v>1.28</v>
      </c>
      <c r="F217" s="36"/>
      <c r="G217" s="37">
        <f t="shared" si="124"/>
        <v>11.44</v>
      </c>
      <c r="H217" s="38">
        <f t="shared" si="125"/>
        <v>11.44</v>
      </c>
      <c r="I217" s="2212">
        <v>11.44</v>
      </c>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205</v>
      </c>
      <c r="AW217" s="1795">
        <f t="shared" si="128"/>
        <v>0</v>
      </c>
      <c r="AX217" s="1795">
        <f t="shared" si="129"/>
        <v>0</v>
      </c>
      <c r="AY217" s="42">
        <f t="shared" si="130"/>
        <v>1.28</v>
      </c>
      <c r="AZ217" s="35">
        <f t="shared" si="131"/>
        <v>11.44</v>
      </c>
      <c r="BA217" s="35">
        <f t="shared" si="132"/>
        <v>11.44</v>
      </c>
      <c r="BB217" s="35">
        <f t="shared" si="133"/>
        <v>11.44</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1272">
        <v>206</v>
      </c>
      <c r="B218" s="34"/>
      <c r="C218" s="34"/>
      <c r="D218" s="2952" t="s">
        <v>3068</v>
      </c>
      <c r="E218" s="16">
        <f t="shared" si="123"/>
        <v>1.28</v>
      </c>
      <c r="F218" s="36"/>
      <c r="G218" s="37">
        <f t="shared" si="124"/>
        <v>11.44</v>
      </c>
      <c r="H218" s="38">
        <f t="shared" si="125"/>
        <v>11.44</v>
      </c>
      <c r="I218" s="2212">
        <v>11.44</v>
      </c>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206</v>
      </c>
      <c r="AW218" s="1795">
        <f t="shared" si="128"/>
        <v>0</v>
      </c>
      <c r="AX218" s="1795">
        <f t="shared" si="129"/>
        <v>0</v>
      </c>
      <c r="AY218" s="42">
        <f t="shared" si="130"/>
        <v>1.28</v>
      </c>
      <c r="AZ218" s="35">
        <f t="shared" si="131"/>
        <v>11.44</v>
      </c>
      <c r="BA218" s="35">
        <f t="shared" si="132"/>
        <v>11.44</v>
      </c>
      <c r="BB218" s="35">
        <f t="shared" si="133"/>
        <v>11.44</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1272">
        <v>207</v>
      </c>
      <c r="B219" s="34"/>
      <c r="C219" s="34"/>
      <c r="D219" s="2952" t="s">
        <v>3068</v>
      </c>
      <c r="E219" s="16">
        <f t="shared" si="123"/>
        <v>1.86</v>
      </c>
      <c r="F219" s="36"/>
      <c r="G219" s="37">
        <f t="shared" si="124"/>
        <v>16.57</v>
      </c>
      <c r="H219" s="38">
        <f t="shared" si="125"/>
        <v>16.57</v>
      </c>
      <c r="I219" s="2212">
        <v>16.57</v>
      </c>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207</v>
      </c>
      <c r="AW219" s="1795">
        <f t="shared" si="128"/>
        <v>0</v>
      </c>
      <c r="AX219" s="1795">
        <f t="shared" si="129"/>
        <v>0</v>
      </c>
      <c r="AY219" s="42">
        <f t="shared" si="130"/>
        <v>1.86</v>
      </c>
      <c r="AZ219" s="35">
        <f t="shared" si="131"/>
        <v>16.57</v>
      </c>
      <c r="BA219" s="35">
        <f t="shared" si="132"/>
        <v>16.57</v>
      </c>
      <c r="BB219" s="35">
        <f t="shared" si="133"/>
        <v>16.57</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1272">
        <v>208</v>
      </c>
      <c r="B220" s="34"/>
      <c r="C220" s="34"/>
      <c r="D220" s="2952" t="s">
        <v>3068</v>
      </c>
      <c r="E220" s="16">
        <f t="shared" si="123"/>
        <v>1.85</v>
      </c>
      <c r="F220" s="36"/>
      <c r="G220" s="37">
        <f t="shared" si="124"/>
        <v>16.52</v>
      </c>
      <c r="H220" s="38">
        <f t="shared" si="125"/>
        <v>16.52</v>
      </c>
      <c r="I220" s="2212">
        <v>16.52</v>
      </c>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208</v>
      </c>
      <c r="AW220" s="1795">
        <f t="shared" si="128"/>
        <v>0</v>
      </c>
      <c r="AX220" s="1795">
        <f t="shared" si="129"/>
        <v>0</v>
      </c>
      <c r="AY220" s="42">
        <f t="shared" si="130"/>
        <v>1.85</v>
      </c>
      <c r="AZ220" s="35">
        <f t="shared" si="131"/>
        <v>16.52</v>
      </c>
      <c r="BA220" s="35">
        <f t="shared" si="132"/>
        <v>16.52</v>
      </c>
      <c r="BB220" s="35">
        <f t="shared" si="133"/>
        <v>16.52</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1272">
        <v>209</v>
      </c>
      <c r="B221" s="34"/>
      <c r="C221" s="34"/>
      <c r="D221" s="2952" t="s">
        <v>3068</v>
      </c>
      <c r="E221" s="16">
        <f t="shared" si="123"/>
        <v>1.28</v>
      </c>
      <c r="F221" s="36"/>
      <c r="G221" s="37">
        <f t="shared" si="124"/>
        <v>11.39</v>
      </c>
      <c r="H221" s="38">
        <f t="shared" si="125"/>
        <v>11.39</v>
      </c>
      <c r="I221" s="2212">
        <v>11.39</v>
      </c>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209</v>
      </c>
      <c r="AW221" s="1795">
        <f t="shared" si="128"/>
        <v>0</v>
      </c>
      <c r="AX221" s="1795">
        <f t="shared" si="129"/>
        <v>0</v>
      </c>
      <c r="AY221" s="42">
        <f t="shared" si="130"/>
        <v>1.28</v>
      </c>
      <c r="AZ221" s="35">
        <f t="shared" si="131"/>
        <v>11.39</v>
      </c>
      <c r="BA221" s="35">
        <f t="shared" si="132"/>
        <v>11.39</v>
      </c>
      <c r="BB221" s="35">
        <f t="shared" si="133"/>
        <v>11.39</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1272">
        <v>210</v>
      </c>
      <c r="B222" s="34"/>
      <c r="C222" s="34"/>
      <c r="D222" s="2952" t="s">
        <v>3068</v>
      </c>
      <c r="E222" s="16">
        <f t="shared" si="123"/>
        <v>1.28</v>
      </c>
      <c r="F222" s="36"/>
      <c r="G222" s="37">
        <f t="shared" si="124"/>
        <v>11.39</v>
      </c>
      <c r="H222" s="38">
        <f t="shared" si="125"/>
        <v>11.39</v>
      </c>
      <c r="I222" s="2212">
        <v>11.39</v>
      </c>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210</v>
      </c>
      <c r="AW222" s="1795">
        <f t="shared" si="128"/>
        <v>0</v>
      </c>
      <c r="AX222" s="1795">
        <f t="shared" si="129"/>
        <v>0</v>
      </c>
      <c r="AY222" s="42">
        <f t="shared" si="130"/>
        <v>1.28</v>
      </c>
      <c r="AZ222" s="35">
        <f t="shared" si="131"/>
        <v>11.39</v>
      </c>
      <c r="BA222" s="35">
        <f t="shared" si="132"/>
        <v>11.39</v>
      </c>
      <c r="BB222" s="35">
        <f t="shared" si="133"/>
        <v>11.39</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1272">
        <v>211</v>
      </c>
      <c r="B223" s="34"/>
      <c r="C223" s="34"/>
      <c r="D223" s="2952" t="s">
        <v>3068</v>
      </c>
      <c r="E223" s="16">
        <f t="shared" si="123"/>
        <v>1.28</v>
      </c>
      <c r="F223" s="36"/>
      <c r="G223" s="37">
        <f t="shared" si="124"/>
        <v>11.39</v>
      </c>
      <c r="H223" s="38">
        <f t="shared" si="125"/>
        <v>11.39</v>
      </c>
      <c r="I223" s="2212">
        <v>11.39</v>
      </c>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211</v>
      </c>
      <c r="AW223" s="1795">
        <f t="shared" si="128"/>
        <v>0</v>
      </c>
      <c r="AX223" s="1795">
        <f t="shared" si="129"/>
        <v>0</v>
      </c>
      <c r="AY223" s="42">
        <f t="shared" si="130"/>
        <v>1.28</v>
      </c>
      <c r="AZ223" s="35">
        <f t="shared" si="131"/>
        <v>11.39</v>
      </c>
      <c r="BA223" s="35">
        <f t="shared" si="132"/>
        <v>11.39</v>
      </c>
      <c r="BB223" s="35">
        <f t="shared" si="133"/>
        <v>11.39</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1272">
        <v>212</v>
      </c>
      <c r="B224" s="34"/>
      <c r="C224" s="34"/>
      <c r="D224" s="2952" t="s">
        <v>3068</v>
      </c>
      <c r="E224" s="16">
        <f t="shared" si="123"/>
        <v>1.28</v>
      </c>
      <c r="F224" s="36"/>
      <c r="G224" s="37">
        <f t="shared" si="124"/>
        <v>11.39</v>
      </c>
      <c r="H224" s="38">
        <f t="shared" si="125"/>
        <v>11.39</v>
      </c>
      <c r="I224" s="2212">
        <v>11.39</v>
      </c>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212</v>
      </c>
      <c r="AW224" s="1795">
        <f t="shared" si="128"/>
        <v>0</v>
      </c>
      <c r="AX224" s="1795">
        <f t="shared" si="129"/>
        <v>0</v>
      </c>
      <c r="AY224" s="42">
        <f t="shared" si="130"/>
        <v>1.28</v>
      </c>
      <c r="AZ224" s="35">
        <f t="shared" si="131"/>
        <v>11.39</v>
      </c>
      <c r="BA224" s="35">
        <f t="shared" si="132"/>
        <v>11.39</v>
      </c>
      <c r="BB224" s="35">
        <f t="shared" si="133"/>
        <v>11.39</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1272">
        <v>213</v>
      </c>
      <c r="B225" s="34"/>
      <c r="C225" s="34"/>
      <c r="D225" s="2952" t="s">
        <v>3068</v>
      </c>
      <c r="E225" s="16">
        <f t="shared" si="123"/>
        <v>1.83</v>
      </c>
      <c r="F225" s="36"/>
      <c r="G225" s="37">
        <f t="shared" si="124"/>
        <v>16.32</v>
      </c>
      <c r="H225" s="38">
        <f t="shared" si="125"/>
        <v>16.32</v>
      </c>
      <c r="I225" s="2212">
        <v>16.32</v>
      </c>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213</v>
      </c>
      <c r="AW225" s="1795">
        <f t="shared" si="128"/>
        <v>0</v>
      </c>
      <c r="AX225" s="1795">
        <f t="shared" si="129"/>
        <v>0</v>
      </c>
      <c r="AY225" s="42">
        <f t="shared" si="130"/>
        <v>1.83</v>
      </c>
      <c r="AZ225" s="35">
        <f t="shared" si="131"/>
        <v>16.32</v>
      </c>
      <c r="BA225" s="35">
        <f t="shared" si="132"/>
        <v>16.32</v>
      </c>
      <c r="BB225" s="35">
        <f t="shared" si="133"/>
        <v>16.32</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1272">
        <v>214</v>
      </c>
      <c r="B226" s="34"/>
      <c r="C226" s="34"/>
      <c r="D226" s="2952" t="s">
        <v>3068</v>
      </c>
      <c r="E226" s="16">
        <f t="shared" si="123"/>
        <v>2.0299999999999998</v>
      </c>
      <c r="F226" s="36"/>
      <c r="G226" s="37">
        <f t="shared" si="124"/>
        <v>18.100000000000001</v>
      </c>
      <c r="H226" s="38">
        <f t="shared" si="125"/>
        <v>18.100000000000001</v>
      </c>
      <c r="I226" s="2212">
        <v>18.100000000000001</v>
      </c>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214</v>
      </c>
      <c r="AW226" s="1795">
        <f t="shared" si="128"/>
        <v>0</v>
      </c>
      <c r="AX226" s="1795">
        <f t="shared" si="129"/>
        <v>0</v>
      </c>
      <c r="AY226" s="42">
        <f t="shared" si="130"/>
        <v>2.0299999999999998</v>
      </c>
      <c r="AZ226" s="35">
        <f t="shared" si="131"/>
        <v>18.100000000000001</v>
      </c>
      <c r="BA226" s="35">
        <f t="shared" si="132"/>
        <v>18.100000000000001</v>
      </c>
      <c r="BB226" s="35">
        <f t="shared" si="133"/>
        <v>18.100000000000001</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1272">
        <v>215</v>
      </c>
      <c r="B227" s="34"/>
      <c r="C227" s="34"/>
      <c r="D227" s="2952" t="s">
        <v>3068</v>
      </c>
      <c r="E227" s="16">
        <f t="shared" si="123"/>
        <v>1.1000000000000001</v>
      </c>
      <c r="F227" s="36"/>
      <c r="G227" s="37">
        <f t="shared" si="124"/>
        <v>9.84</v>
      </c>
      <c r="H227" s="38">
        <f t="shared" si="125"/>
        <v>9.84</v>
      </c>
      <c r="I227" s="2212">
        <v>9.84</v>
      </c>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215</v>
      </c>
      <c r="AW227" s="1795">
        <f t="shared" si="128"/>
        <v>0</v>
      </c>
      <c r="AX227" s="1795">
        <f t="shared" si="129"/>
        <v>0</v>
      </c>
      <c r="AY227" s="42">
        <f t="shared" si="130"/>
        <v>1.1000000000000001</v>
      </c>
      <c r="AZ227" s="35">
        <f t="shared" si="131"/>
        <v>9.84</v>
      </c>
      <c r="BA227" s="35">
        <f t="shared" si="132"/>
        <v>9.84</v>
      </c>
      <c r="BB227" s="35">
        <f t="shared" si="133"/>
        <v>9.84</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1272">
        <v>216</v>
      </c>
      <c r="B228" s="34"/>
      <c r="C228" s="34"/>
      <c r="D228" s="2952" t="s">
        <v>3068</v>
      </c>
      <c r="E228" s="16">
        <f t="shared" si="123"/>
        <v>1.28</v>
      </c>
      <c r="F228" s="36"/>
      <c r="G228" s="37">
        <f t="shared" si="124"/>
        <v>11.44</v>
      </c>
      <c r="H228" s="38">
        <f t="shared" si="125"/>
        <v>11.44</v>
      </c>
      <c r="I228" s="2212">
        <v>11.44</v>
      </c>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216</v>
      </c>
      <c r="AW228" s="1795">
        <f t="shared" si="128"/>
        <v>0</v>
      </c>
      <c r="AX228" s="1795">
        <f t="shared" si="129"/>
        <v>0</v>
      </c>
      <c r="AY228" s="42">
        <f t="shared" si="130"/>
        <v>1.28</v>
      </c>
      <c r="AZ228" s="35">
        <f t="shared" si="131"/>
        <v>11.44</v>
      </c>
      <c r="BA228" s="35">
        <f t="shared" si="132"/>
        <v>11.44</v>
      </c>
      <c r="BB228" s="35">
        <f t="shared" si="133"/>
        <v>11.44</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1272">
        <v>217</v>
      </c>
      <c r="B229" s="34"/>
      <c r="C229" s="34"/>
      <c r="D229" s="2952" t="s">
        <v>3068</v>
      </c>
      <c r="E229" s="16">
        <f t="shared" si="123"/>
        <v>1.28</v>
      </c>
      <c r="F229" s="36"/>
      <c r="G229" s="37">
        <f t="shared" si="124"/>
        <v>11.44</v>
      </c>
      <c r="H229" s="38">
        <f t="shared" si="125"/>
        <v>11.44</v>
      </c>
      <c r="I229" s="2212">
        <v>11.44</v>
      </c>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217</v>
      </c>
      <c r="AW229" s="1795">
        <f t="shared" si="128"/>
        <v>0</v>
      </c>
      <c r="AX229" s="1795">
        <f t="shared" si="129"/>
        <v>0</v>
      </c>
      <c r="AY229" s="42">
        <f t="shared" si="130"/>
        <v>1.28</v>
      </c>
      <c r="AZ229" s="35">
        <f t="shared" si="131"/>
        <v>11.44</v>
      </c>
      <c r="BA229" s="35">
        <f t="shared" si="132"/>
        <v>11.44</v>
      </c>
      <c r="BB229" s="35">
        <f t="shared" si="133"/>
        <v>11.44</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1272">
        <v>218</v>
      </c>
      <c r="B230" s="34"/>
      <c r="C230" s="34"/>
      <c r="D230" s="2952" t="s">
        <v>3068</v>
      </c>
      <c r="E230" s="16">
        <f t="shared" si="123"/>
        <v>1.28</v>
      </c>
      <c r="F230" s="36"/>
      <c r="G230" s="37">
        <f t="shared" si="124"/>
        <v>11.44</v>
      </c>
      <c r="H230" s="38">
        <f t="shared" si="125"/>
        <v>11.44</v>
      </c>
      <c r="I230" s="2212">
        <v>11.44</v>
      </c>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218</v>
      </c>
      <c r="AW230" s="1795">
        <f t="shared" si="128"/>
        <v>0</v>
      </c>
      <c r="AX230" s="1795">
        <f t="shared" si="129"/>
        <v>0</v>
      </c>
      <c r="AY230" s="42">
        <f t="shared" si="130"/>
        <v>1.28</v>
      </c>
      <c r="AZ230" s="35">
        <f t="shared" si="131"/>
        <v>11.44</v>
      </c>
      <c r="BA230" s="35">
        <f t="shared" si="132"/>
        <v>11.44</v>
      </c>
      <c r="BB230" s="35">
        <f t="shared" si="133"/>
        <v>11.44</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1272">
        <v>219</v>
      </c>
      <c r="B231" s="34"/>
      <c r="C231" s="34"/>
      <c r="D231" s="2952" t="s">
        <v>3068</v>
      </c>
      <c r="E231" s="16">
        <f t="shared" si="123"/>
        <v>1.28</v>
      </c>
      <c r="F231" s="36"/>
      <c r="G231" s="37">
        <f t="shared" si="124"/>
        <v>11.44</v>
      </c>
      <c r="H231" s="38">
        <f t="shared" si="125"/>
        <v>11.44</v>
      </c>
      <c r="I231" s="2212">
        <v>11.44</v>
      </c>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219</v>
      </c>
      <c r="AW231" s="1795">
        <f t="shared" si="128"/>
        <v>0</v>
      </c>
      <c r="AX231" s="1795">
        <f t="shared" si="129"/>
        <v>0</v>
      </c>
      <c r="AY231" s="42">
        <f t="shared" si="130"/>
        <v>1.28</v>
      </c>
      <c r="AZ231" s="35">
        <f t="shared" si="131"/>
        <v>11.44</v>
      </c>
      <c r="BA231" s="35">
        <f t="shared" si="132"/>
        <v>11.44</v>
      </c>
      <c r="BB231" s="35">
        <f t="shared" si="133"/>
        <v>11.44</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1272">
        <v>220</v>
      </c>
      <c r="B232" s="34"/>
      <c r="C232" s="34"/>
      <c r="D232" s="2952" t="s">
        <v>3068</v>
      </c>
      <c r="E232" s="16">
        <f t="shared" si="123"/>
        <v>1.28</v>
      </c>
      <c r="F232" s="36"/>
      <c r="G232" s="37">
        <f t="shared" si="124"/>
        <v>11.44</v>
      </c>
      <c r="H232" s="38">
        <f t="shared" si="125"/>
        <v>11.44</v>
      </c>
      <c r="I232" s="2212">
        <v>11.44</v>
      </c>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220</v>
      </c>
      <c r="AW232" s="1795">
        <f t="shared" si="128"/>
        <v>0</v>
      </c>
      <c r="AX232" s="1795">
        <f t="shared" si="129"/>
        <v>0</v>
      </c>
      <c r="AY232" s="42">
        <f t="shared" si="130"/>
        <v>1.28</v>
      </c>
      <c r="AZ232" s="35">
        <f t="shared" si="131"/>
        <v>11.44</v>
      </c>
      <c r="BA232" s="35">
        <f t="shared" si="132"/>
        <v>11.44</v>
      </c>
      <c r="BB232" s="35">
        <f t="shared" si="133"/>
        <v>11.44</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1272">
        <v>221</v>
      </c>
      <c r="B233" s="34"/>
      <c r="C233" s="34"/>
      <c r="D233" s="2952" t="s">
        <v>3068</v>
      </c>
      <c r="E233" s="16">
        <f t="shared" si="123"/>
        <v>1.24</v>
      </c>
      <c r="F233" s="36"/>
      <c r="G233" s="37">
        <f t="shared" si="124"/>
        <v>11.1</v>
      </c>
      <c r="H233" s="38">
        <f t="shared" si="125"/>
        <v>11.1</v>
      </c>
      <c r="I233" s="2212">
        <v>11.1</v>
      </c>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221</v>
      </c>
      <c r="AW233" s="1795">
        <f t="shared" si="128"/>
        <v>0</v>
      </c>
      <c r="AX233" s="1795">
        <f t="shared" si="129"/>
        <v>0</v>
      </c>
      <c r="AY233" s="42">
        <f t="shared" si="130"/>
        <v>1.24</v>
      </c>
      <c r="AZ233" s="35">
        <f t="shared" si="131"/>
        <v>11.1</v>
      </c>
      <c r="BA233" s="35">
        <f t="shared" si="132"/>
        <v>11.1</v>
      </c>
      <c r="BB233" s="35">
        <f t="shared" si="133"/>
        <v>11.1</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1272">
        <v>222</v>
      </c>
      <c r="B234" s="34"/>
      <c r="C234" s="34"/>
      <c r="D234" s="2952" t="s">
        <v>3068</v>
      </c>
      <c r="E234" s="16">
        <f t="shared" si="123"/>
        <v>1.33</v>
      </c>
      <c r="F234" s="36"/>
      <c r="G234" s="37">
        <f t="shared" si="124"/>
        <v>11.86</v>
      </c>
      <c r="H234" s="38">
        <f t="shared" si="125"/>
        <v>11.86</v>
      </c>
      <c r="I234" s="2212">
        <v>11.86</v>
      </c>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222</v>
      </c>
      <c r="AW234" s="1795">
        <f t="shared" si="128"/>
        <v>0</v>
      </c>
      <c r="AX234" s="1795">
        <f t="shared" si="129"/>
        <v>0</v>
      </c>
      <c r="AY234" s="42">
        <f t="shared" si="130"/>
        <v>1.33</v>
      </c>
      <c r="AZ234" s="35">
        <f t="shared" si="131"/>
        <v>11.86</v>
      </c>
      <c r="BA234" s="35">
        <f t="shared" si="132"/>
        <v>11.86</v>
      </c>
      <c r="BB234" s="35">
        <f t="shared" si="133"/>
        <v>11.86</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1272">
        <v>223</v>
      </c>
      <c r="B235" s="34"/>
      <c r="C235" s="34"/>
      <c r="D235" s="2952" t="s">
        <v>3068</v>
      </c>
      <c r="E235" s="16">
        <f t="shared" si="123"/>
        <v>1.37</v>
      </c>
      <c r="F235" s="36"/>
      <c r="G235" s="37">
        <f t="shared" si="124"/>
        <v>12.19</v>
      </c>
      <c r="H235" s="38">
        <f t="shared" si="125"/>
        <v>12.19</v>
      </c>
      <c r="I235" s="2212">
        <v>12.19</v>
      </c>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223</v>
      </c>
      <c r="AW235" s="1795">
        <f t="shared" si="128"/>
        <v>0</v>
      </c>
      <c r="AX235" s="1795">
        <f t="shared" si="129"/>
        <v>0</v>
      </c>
      <c r="AY235" s="42">
        <f t="shared" si="130"/>
        <v>1.37</v>
      </c>
      <c r="AZ235" s="35">
        <f t="shared" si="131"/>
        <v>12.19</v>
      </c>
      <c r="BA235" s="35">
        <f t="shared" si="132"/>
        <v>12.19</v>
      </c>
      <c r="BB235" s="35">
        <f t="shared" si="133"/>
        <v>12.19</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1272">
        <v>224</v>
      </c>
      <c r="B236" s="34"/>
      <c r="C236" s="34"/>
      <c r="D236" s="2952" t="s">
        <v>3068</v>
      </c>
      <c r="E236" s="16">
        <f t="shared" si="123"/>
        <v>1.37</v>
      </c>
      <c r="F236" s="36"/>
      <c r="G236" s="37">
        <f t="shared" si="124"/>
        <v>12.19</v>
      </c>
      <c r="H236" s="38">
        <f t="shared" si="125"/>
        <v>12.19</v>
      </c>
      <c r="I236" s="2212">
        <v>12.19</v>
      </c>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224</v>
      </c>
      <c r="AW236" s="1795">
        <f t="shared" si="128"/>
        <v>0</v>
      </c>
      <c r="AX236" s="1795">
        <f t="shared" si="129"/>
        <v>0</v>
      </c>
      <c r="AY236" s="42">
        <f t="shared" si="130"/>
        <v>1.37</v>
      </c>
      <c r="AZ236" s="35">
        <f t="shared" si="131"/>
        <v>12.19</v>
      </c>
      <c r="BA236" s="35">
        <f t="shared" si="132"/>
        <v>12.19</v>
      </c>
      <c r="BB236" s="35">
        <f t="shared" si="133"/>
        <v>12.19</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1272">
        <v>225</v>
      </c>
      <c r="B237" s="34"/>
      <c r="C237" s="34"/>
      <c r="D237" s="2952" t="s">
        <v>3068</v>
      </c>
      <c r="E237" s="16">
        <f t="shared" si="123"/>
        <v>1.37</v>
      </c>
      <c r="F237" s="36"/>
      <c r="G237" s="37">
        <f t="shared" si="124"/>
        <v>12.19</v>
      </c>
      <c r="H237" s="38">
        <f t="shared" si="125"/>
        <v>12.19</v>
      </c>
      <c r="I237" s="2212">
        <v>12.19</v>
      </c>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225</v>
      </c>
      <c r="AW237" s="1795">
        <f t="shared" si="128"/>
        <v>0</v>
      </c>
      <c r="AX237" s="1795">
        <f t="shared" si="129"/>
        <v>0</v>
      </c>
      <c r="AY237" s="42">
        <f t="shared" si="130"/>
        <v>1.37</v>
      </c>
      <c r="AZ237" s="35">
        <f t="shared" si="131"/>
        <v>12.19</v>
      </c>
      <c r="BA237" s="35">
        <f t="shared" si="132"/>
        <v>12.19</v>
      </c>
      <c r="BB237" s="35">
        <f t="shared" si="133"/>
        <v>12.19</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1272">
        <v>226</v>
      </c>
      <c r="B238" s="34"/>
      <c r="C238" s="34"/>
      <c r="D238" s="2952" t="s">
        <v>3068</v>
      </c>
      <c r="E238" s="16">
        <f t="shared" si="123"/>
        <v>1.37</v>
      </c>
      <c r="F238" s="36"/>
      <c r="G238" s="37">
        <f t="shared" si="124"/>
        <v>12.19</v>
      </c>
      <c r="H238" s="38">
        <f t="shared" si="125"/>
        <v>12.19</v>
      </c>
      <c r="I238" s="2212">
        <v>12.19</v>
      </c>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226</v>
      </c>
      <c r="AW238" s="1795">
        <f t="shared" si="128"/>
        <v>0</v>
      </c>
      <c r="AX238" s="1795">
        <f t="shared" si="129"/>
        <v>0</v>
      </c>
      <c r="AY238" s="42">
        <f t="shared" si="130"/>
        <v>1.37</v>
      </c>
      <c r="AZ238" s="35">
        <f t="shared" si="131"/>
        <v>12.19</v>
      </c>
      <c r="BA238" s="35">
        <f t="shared" si="132"/>
        <v>12.19</v>
      </c>
      <c r="BB238" s="35">
        <f t="shared" si="133"/>
        <v>12.19</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1272">
        <v>227</v>
      </c>
      <c r="B239" s="34"/>
      <c r="C239" s="34"/>
      <c r="D239" s="2952" t="s">
        <v>3068</v>
      </c>
      <c r="E239" s="16">
        <f t="shared" si="123"/>
        <v>1.37</v>
      </c>
      <c r="F239" s="36"/>
      <c r="G239" s="37">
        <f t="shared" si="124"/>
        <v>12.19</v>
      </c>
      <c r="H239" s="38">
        <f t="shared" si="125"/>
        <v>12.19</v>
      </c>
      <c r="I239" s="2957">
        <v>12.19</v>
      </c>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227</v>
      </c>
      <c r="AW239" s="1795">
        <f t="shared" si="128"/>
        <v>0</v>
      </c>
      <c r="AX239" s="1795">
        <f t="shared" si="129"/>
        <v>0</v>
      </c>
      <c r="AY239" s="42">
        <f t="shared" si="130"/>
        <v>1.37</v>
      </c>
      <c r="AZ239" s="35">
        <f t="shared" si="131"/>
        <v>12.19</v>
      </c>
      <c r="BA239" s="35">
        <f t="shared" si="132"/>
        <v>12.19</v>
      </c>
      <c r="BB239" s="35">
        <f t="shared" si="133"/>
        <v>12.19</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1272">
        <v>228</v>
      </c>
      <c r="B240" s="34"/>
      <c r="C240" s="34"/>
      <c r="D240" s="2952" t="s">
        <v>3068</v>
      </c>
      <c r="E240" s="16">
        <f t="shared" si="123"/>
        <v>1.19</v>
      </c>
      <c r="F240" s="36"/>
      <c r="G240" s="37">
        <f t="shared" si="124"/>
        <v>10.64</v>
      </c>
      <c r="H240" s="38">
        <f t="shared" si="125"/>
        <v>10.64</v>
      </c>
      <c r="I240" s="2957">
        <v>10.64</v>
      </c>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228</v>
      </c>
      <c r="AW240" s="1795">
        <f t="shared" si="128"/>
        <v>0</v>
      </c>
      <c r="AX240" s="1795">
        <f t="shared" si="129"/>
        <v>0</v>
      </c>
      <c r="AY240" s="42">
        <f t="shared" si="130"/>
        <v>1.19</v>
      </c>
      <c r="AZ240" s="35">
        <f t="shared" si="131"/>
        <v>10.64</v>
      </c>
      <c r="BA240" s="35">
        <f t="shared" si="132"/>
        <v>10.64</v>
      </c>
      <c r="BB240" s="35">
        <f t="shared" si="133"/>
        <v>10.64</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1272">
        <v>229</v>
      </c>
      <c r="B241" s="34"/>
      <c r="C241" s="34"/>
      <c r="D241" s="2952" t="s">
        <v>3068</v>
      </c>
      <c r="E241" s="16">
        <f t="shared" si="123"/>
        <v>2.19</v>
      </c>
      <c r="F241" s="36"/>
      <c r="G241" s="37">
        <f t="shared" si="124"/>
        <v>19.5</v>
      </c>
      <c r="H241" s="38">
        <f t="shared" si="125"/>
        <v>19.5</v>
      </c>
      <c r="I241" s="2957">
        <v>19.5</v>
      </c>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229</v>
      </c>
      <c r="AW241" s="1795">
        <f t="shared" si="128"/>
        <v>0</v>
      </c>
      <c r="AX241" s="1795">
        <f t="shared" si="129"/>
        <v>0</v>
      </c>
      <c r="AY241" s="42">
        <f t="shared" si="130"/>
        <v>2.19</v>
      </c>
      <c r="AZ241" s="35">
        <f t="shared" si="131"/>
        <v>19.5</v>
      </c>
      <c r="BA241" s="35">
        <f t="shared" si="132"/>
        <v>19.5</v>
      </c>
      <c r="BB241" s="35">
        <f t="shared" si="133"/>
        <v>19.5</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1272">
        <v>230</v>
      </c>
      <c r="B242" s="34"/>
      <c r="C242" s="34"/>
      <c r="D242" s="2952" t="s">
        <v>3068</v>
      </c>
      <c r="E242" s="16">
        <f t="shared" si="123"/>
        <v>1.7</v>
      </c>
      <c r="F242" s="36"/>
      <c r="G242" s="37">
        <f t="shared" si="124"/>
        <v>15.14</v>
      </c>
      <c r="H242" s="38">
        <f t="shared" si="125"/>
        <v>15.14</v>
      </c>
      <c r="I242" s="2957">
        <v>15.14</v>
      </c>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230</v>
      </c>
      <c r="AW242" s="1795">
        <f t="shared" si="128"/>
        <v>0</v>
      </c>
      <c r="AX242" s="1795">
        <f t="shared" si="129"/>
        <v>0</v>
      </c>
      <c r="AY242" s="42">
        <f t="shared" si="130"/>
        <v>1.7</v>
      </c>
      <c r="AZ242" s="35">
        <f t="shared" si="131"/>
        <v>15.14</v>
      </c>
      <c r="BA242" s="35">
        <f t="shared" si="132"/>
        <v>15.14</v>
      </c>
      <c r="BB242" s="35">
        <f t="shared" si="133"/>
        <v>15.14</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1272">
        <v>231</v>
      </c>
      <c r="B243" s="34"/>
      <c r="C243" s="34"/>
      <c r="D243" s="2952" t="s">
        <v>3068</v>
      </c>
      <c r="E243" s="16">
        <f t="shared" si="123"/>
        <v>1.64</v>
      </c>
      <c r="F243" s="36"/>
      <c r="G243" s="37">
        <f t="shared" si="124"/>
        <v>14.61</v>
      </c>
      <c r="H243" s="38">
        <f t="shared" si="125"/>
        <v>14.61</v>
      </c>
      <c r="I243" s="2957">
        <v>14.61</v>
      </c>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231</v>
      </c>
      <c r="AW243" s="1795">
        <f t="shared" si="128"/>
        <v>0</v>
      </c>
      <c r="AX243" s="1795">
        <f t="shared" si="129"/>
        <v>0</v>
      </c>
      <c r="AY243" s="42">
        <f t="shared" si="130"/>
        <v>1.64</v>
      </c>
      <c r="AZ243" s="35">
        <f t="shared" si="131"/>
        <v>14.61</v>
      </c>
      <c r="BA243" s="35">
        <f t="shared" si="132"/>
        <v>14.61</v>
      </c>
      <c r="BB243" s="35">
        <f t="shared" si="133"/>
        <v>14.61</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1272">
        <v>232</v>
      </c>
      <c r="B244" s="34"/>
      <c r="C244" s="34"/>
      <c r="D244" s="2952" t="s">
        <v>3068</v>
      </c>
      <c r="E244" s="16">
        <f t="shared" si="123"/>
        <v>1.37</v>
      </c>
      <c r="F244" s="36"/>
      <c r="G244" s="37">
        <f t="shared" si="124"/>
        <v>12.24</v>
      </c>
      <c r="H244" s="38">
        <f t="shared" si="125"/>
        <v>12.24</v>
      </c>
      <c r="I244" s="2957">
        <v>12.24</v>
      </c>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232</v>
      </c>
      <c r="AW244" s="1795">
        <f t="shared" si="128"/>
        <v>0</v>
      </c>
      <c r="AX244" s="1795">
        <f t="shared" si="129"/>
        <v>0</v>
      </c>
      <c r="AY244" s="42">
        <f t="shared" si="130"/>
        <v>1.37</v>
      </c>
      <c r="AZ244" s="35">
        <f t="shared" si="131"/>
        <v>12.24</v>
      </c>
      <c r="BA244" s="35">
        <f t="shared" si="132"/>
        <v>12.24</v>
      </c>
      <c r="BB244" s="35">
        <f t="shared" si="133"/>
        <v>12.24</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1272">
        <v>233</v>
      </c>
      <c r="B245" s="34"/>
      <c r="C245" s="34"/>
      <c r="D245" s="2952" t="s">
        <v>3068</v>
      </c>
      <c r="E245" s="16">
        <f t="shared" si="123"/>
        <v>1.37</v>
      </c>
      <c r="F245" s="36"/>
      <c r="G245" s="37">
        <f t="shared" si="124"/>
        <v>12.24</v>
      </c>
      <c r="H245" s="38">
        <f t="shared" si="125"/>
        <v>12.24</v>
      </c>
      <c r="I245" s="2957">
        <v>12.24</v>
      </c>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233</v>
      </c>
      <c r="AW245" s="1795">
        <f t="shared" si="128"/>
        <v>0</v>
      </c>
      <c r="AX245" s="1795">
        <f t="shared" si="129"/>
        <v>0</v>
      </c>
      <c r="AY245" s="42">
        <f t="shared" si="130"/>
        <v>1.37</v>
      </c>
      <c r="AZ245" s="35">
        <f t="shared" si="131"/>
        <v>12.24</v>
      </c>
      <c r="BA245" s="35">
        <f t="shared" si="132"/>
        <v>12.24</v>
      </c>
      <c r="BB245" s="35">
        <f t="shared" si="133"/>
        <v>12.24</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1272">
        <v>234</v>
      </c>
      <c r="B246" s="34"/>
      <c r="C246" s="34"/>
      <c r="D246" s="2952" t="s">
        <v>3068</v>
      </c>
      <c r="E246" s="16">
        <f t="shared" si="123"/>
        <v>1.37</v>
      </c>
      <c r="F246" s="36"/>
      <c r="G246" s="37">
        <f t="shared" si="124"/>
        <v>12.24</v>
      </c>
      <c r="H246" s="38">
        <f t="shared" si="125"/>
        <v>12.24</v>
      </c>
      <c r="I246" s="2957">
        <v>12.24</v>
      </c>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234</v>
      </c>
      <c r="AW246" s="1795">
        <f t="shared" si="128"/>
        <v>0</v>
      </c>
      <c r="AX246" s="1795">
        <f t="shared" si="129"/>
        <v>0</v>
      </c>
      <c r="AY246" s="42">
        <f t="shared" si="130"/>
        <v>1.37</v>
      </c>
      <c r="AZ246" s="35">
        <f t="shared" si="131"/>
        <v>12.24</v>
      </c>
      <c r="BA246" s="35">
        <f t="shared" si="132"/>
        <v>12.24</v>
      </c>
      <c r="BB246" s="35">
        <f t="shared" si="133"/>
        <v>12.24</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1272">
        <v>235</v>
      </c>
      <c r="B247" s="34"/>
      <c r="C247" s="34"/>
      <c r="D247" s="2952" t="s">
        <v>3068</v>
      </c>
      <c r="E247" s="16">
        <f t="shared" si="123"/>
        <v>1.37</v>
      </c>
      <c r="F247" s="36"/>
      <c r="G247" s="37">
        <f t="shared" si="124"/>
        <v>12.24</v>
      </c>
      <c r="H247" s="38">
        <f t="shared" si="125"/>
        <v>12.24</v>
      </c>
      <c r="I247" s="2957">
        <v>12.24</v>
      </c>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235</v>
      </c>
      <c r="AW247" s="1795">
        <f t="shared" si="128"/>
        <v>0</v>
      </c>
      <c r="AX247" s="1795">
        <f t="shared" si="129"/>
        <v>0</v>
      </c>
      <c r="AY247" s="42">
        <f t="shared" si="130"/>
        <v>1.37</v>
      </c>
      <c r="AZ247" s="35">
        <f t="shared" si="131"/>
        <v>12.24</v>
      </c>
      <c r="BA247" s="35">
        <f t="shared" si="132"/>
        <v>12.24</v>
      </c>
      <c r="BB247" s="35">
        <f t="shared" si="133"/>
        <v>12.24</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1272">
        <v>236</v>
      </c>
      <c r="B248" s="34"/>
      <c r="C248" s="34"/>
      <c r="D248" s="2952" t="s">
        <v>3068</v>
      </c>
      <c r="E248" s="16">
        <f t="shared" si="123"/>
        <v>1.37</v>
      </c>
      <c r="F248" s="36"/>
      <c r="G248" s="37">
        <f t="shared" si="124"/>
        <v>12.24</v>
      </c>
      <c r="H248" s="38">
        <f t="shared" si="125"/>
        <v>12.24</v>
      </c>
      <c r="I248" s="2957">
        <v>12.24</v>
      </c>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236</v>
      </c>
      <c r="AW248" s="1795">
        <f t="shared" si="128"/>
        <v>0</v>
      </c>
      <c r="AX248" s="1795">
        <f t="shared" si="129"/>
        <v>0</v>
      </c>
      <c r="AY248" s="42">
        <f t="shared" si="130"/>
        <v>1.37</v>
      </c>
      <c r="AZ248" s="35">
        <f t="shared" si="131"/>
        <v>12.24</v>
      </c>
      <c r="BA248" s="35">
        <f t="shared" si="132"/>
        <v>12.24</v>
      </c>
      <c r="BB248" s="35">
        <f t="shared" si="133"/>
        <v>12.24</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1272">
        <v>237</v>
      </c>
      <c r="B249" s="34"/>
      <c r="C249" s="34"/>
      <c r="D249" s="2952" t="s">
        <v>3068</v>
      </c>
      <c r="E249" s="16">
        <f t="shared" si="123"/>
        <v>1.33</v>
      </c>
      <c r="F249" s="36"/>
      <c r="G249" s="37">
        <f t="shared" si="124"/>
        <v>11.88</v>
      </c>
      <c r="H249" s="38">
        <f t="shared" si="125"/>
        <v>11.88</v>
      </c>
      <c r="I249" s="2957">
        <v>11.88</v>
      </c>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237</v>
      </c>
      <c r="AW249" s="1795">
        <f t="shared" si="128"/>
        <v>0</v>
      </c>
      <c r="AX249" s="1795">
        <f t="shared" si="129"/>
        <v>0</v>
      </c>
      <c r="AY249" s="42">
        <f t="shared" si="130"/>
        <v>1.33</v>
      </c>
      <c r="AZ249" s="35">
        <f t="shared" si="131"/>
        <v>11.88</v>
      </c>
      <c r="BA249" s="35">
        <f t="shared" si="132"/>
        <v>11.88</v>
      </c>
      <c r="BB249" s="35">
        <f t="shared" si="133"/>
        <v>11.88</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1272">
        <v>238</v>
      </c>
      <c r="B250" s="34"/>
      <c r="C250" s="34"/>
      <c r="D250" s="2952" t="s">
        <v>3068</v>
      </c>
      <c r="E250" s="16">
        <f t="shared" si="123"/>
        <v>1.44</v>
      </c>
      <c r="F250" s="36"/>
      <c r="G250" s="37">
        <f t="shared" si="124"/>
        <v>12.81</v>
      </c>
      <c r="H250" s="38">
        <f t="shared" si="125"/>
        <v>12.81</v>
      </c>
      <c r="I250" s="2957">
        <v>12.81</v>
      </c>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238</v>
      </c>
      <c r="AW250" s="1795">
        <f t="shared" si="128"/>
        <v>0</v>
      </c>
      <c r="AX250" s="1795">
        <f t="shared" si="129"/>
        <v>0</v>
      </c>
      <c r="AY250" s="42">
        <f t="shared" si="130"/>
        <v>1.44</v>
      </c>
      <c r="AZ250" s="35">
        <f t="shared" si="131"/>
        <v>12.81</v>
      </c>
      <c r="BA250" s="35">
        <f t="shared" si="132"/>
        <v>12.81</v>
      </c>
      <c r="BB250" s="35">
        <f t="shared" si="133"/>
        <v>12.81</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1272">
        <v>239</v>
      </c>
      <c r="B251" s="34"/>
      <c r="C251" s="34"/>
      <c r="D251" s="2952" t="s">
        <v>3068</v>
      </c>
      <c r="E251" s="16">
        <f t="shared" si="123"/>
        <v>1.23</v>
      </c>
      <c r="F251" s="36"/>
      <c r="G251" s="37">
        <f t="shared" si="124"/>
        <v>10.99</v>
      </c>
      <c r="H251" s="38">
        <f t="shared" si="125"/>
        <v>10.99</v>
      </c>
      <c r="I251" s="2957">
        <v>10.99</v>
      </c>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239</v>
      </c>
      <c r="AW251" s="1795">
        <f t="shared" si="128"/>
        <v>0</v>
      </c>
      <c r="AX251" s="1795">
        <f t="shared" si="129"/>
        <v>0</v>
      </c>
      <c r="AY251" s="42">
        <f t="shared" si="130"/>
        <v>1.23</v>
      </c>
      <c r="AZ251" s="35">
        <f t="shared" si="131"/>
        <v>10.99</v>
      </c>
      <c r="BA251" s="35">
        <f t="shared" si="132"/>
        <v>10.99</v>
      </c>
      <c r="BB251" s="35">
        <f t="shared" si="133"/>
        <v>10.99</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1272">
        <v>240</v>
      </c>
      <c r="B252" s="34"/>
      <c r="C252" s="34"/>
      <c r="D252" s="2952" t="s">
        <v>3068</v>
      </c>
      <c r="E252" s="16">
        <f t="shared" si="123"/>
        <v>1.23</v>
      </c>
      <c r="F252" s="36"/>
      <c r="G252" s="37">
        <f t="shared" si="124"/>
        <v>10.99</v>
      </c>
      <c r="H252" s="38">
        <f t="shared" si="125"/>
        <v>10.99</v>
      </c>
      <c r="I252" s="2957">
        <v>10.99</v>
      </c>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240</v>
      </c>
      <c r="AW252" s="1795">
        <f t="shared" si="128"/>
        <v>0</v>
      </c>
      <c r="AX252" s="1795">
        <f t="shared" si="129"/>
        <v>0</v>
      </c>
      <c r="AY252" s="42">
        <f t="shared" si="130"/>
        <v>1.23</v>
      </c>
      <c r="AZ252" s="35">
        <f t="shared" si="131"/>
        <v>10.99</v>
      </c>
      <c r="BA252" s="35">
        <f t="shared" si="132"/>
        <v>10.99</v>
      </c>
      <c r="BB252" s="35">
        <f t="shared" si="133"/>
        <v>10.99</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1272">
        <v>241</v>
      </c>
      <c r="B253" s="34"/>
      <c r="C253" s="34"/>
      <c r="D253" s="2952" t="s">
        <v>3068</v>
      </c>
      <c r="E253" s="16">
        <f t="shared" si="123"/>
        <v>1.23</v>
      </c>
      <c r="F253" s="36"/>
      <c r="G253" s="37">
        <f t="shared" si="124"/>
        <v>10.99</v>
      </c>
      <c r="H253" s="38">
        <f t="shared" si="125"/>
        <v>10.99</v>
      </c>
      <c r="I253" s="2957">
        <v>10.99</v>
      </c>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241</v>
      </c>
      <c r="AW253" s="1795">
        <f t="shared" si="128"/>
        <v>0</v>
      </c>
      <c r="AX253" s="1795">
        <f t="shared" si="129"/>
        <v>0</v>
      </c>
      <c r="AY253" s="42">
        <f t="shared" si="130"/>
        <v>1.23</v>
      </c>
      <c r="AZ253" s="35">
        <f t="shared" si="131"/>
        <v>10.99</v>
      </c>
      <c r="BA253" s="35">
        <f t="shared" si="132"/>
        <v>10.99</v>
      </c>
      <c r="BB253" s="35">
        <f t="shared" si="133"/>
        <v>10.99</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1272">
        <v>242</v>
      </c>
      <c r="B254" s="34"/>
      <c r="C254" s="34"/>
      <c r="D254" s="2952" t="s">
        <v>3068</v>
      </c>
      <c r="E254" s="16">
        <f t="shared" si="123"/>
        <v>1.23</v>
      </c>
      <c r="F254" s="36"/>
      <c r="G254" s="37">
        <f t="shared" si="124"/>
        <v>10.99</v>
      </c>
      <c r="H254" s="38">
        <f t="shared" si="125"/>
        <v>10.99</v>
      </c>
      <c r="I254" s="2957">
        <v>10.99</v>
      </c>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242</v>
      </c>
      <c r="AW254" s="1795">
        <f t="shared" si="128"/>
        <v>0</v>
      </c>
      <c r="AX254" s="1795">
        <f t="shared" si="129"/>
        <v>0</v>
      </c>
      <c r="AY254" s="42">
        <f t="shared" si="130"/>
        <v>1.23</v>
      </c>
      <c r="AZ254" s="35">
        <f t="shared" si="131"/>
        <v>10.99</v>
      </c>
      <c r="BA254" s="35">
        <f t="shared" si="132"/>
        <v>10.99</v>
      </c>
      <c r="BB254" s="35">
        <f t="shared" si="133"/>
        <v>10.99</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1272">
        <v>243</v>
      </c>
      <c r="B255" s="34"/>
      <c r="C255" s="34"/>
      <c r="D255" s="2952" t="s">
        <v>3068</v>
      </c>
      <c r="E255" s="16">
        <f t="shared" si="123"/>
        <v>1.23</v>
      </c>
      <c r="F255" s="36"/>
      <c r="G255" s="37">
        <f t="shared" si="124"/>
        <v>10.99</v>
      </c>
      <c r="H255" s="38">
        <f t="shared" si="125"/>
        <v>10.99</v>
      </c>
      <c r="I255" s="2957">
        <v>10.99</v>
      </c>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243</v>
      </c>
      <c r="AW255" s="1795">
        <f t="shared" si="128"/>
        <v>0</v>
      </c>
      <c r="AX255" s="1795">
        <f t="shared" si="129"/>
        <v>0</v>
      </c>
      <c r="AY255" s="42">
        <f t="shared" si="130"/>
        <v>1.23</v>
      </c>
      <c r="AZ255" s="35">
        <f t="shared" si="131"/>
        <v>10.99</v>
      </c>
      <c r="BA255" s="35">
        <f t="shared" si="132"/>
        <v>10.99</v>
      </c>
      <c r="BB255" s="35">
        <f t="shared" si="133"/>
        <v>10.99</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1272">
        <v>244</v>
      </c>
      <c r="B256" s="34"/>
      <c r="C256" s="34"/>
      <c r="D256" s="2952" t="s">
        <v>3068</v>
      </c>
      <c r="E256" s="16">
        <f t="shared" si="123"/>
        <v>1.23</v>
      </c>
      <c r="F256" s="36"/>
      <c r="G256" s="37">
        <f t="shared" si="124"/>
        <v>10.99</v>
      </c>
      <c r="H256" s="38">
        <f t="shared" si="125"/>
        <v>10.99</v>
      </c>
      <c r="I256" s="2957">
        <v>10.99</v>
      </c>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244</v>
      </c>
      <c r="AW256" s="1795">
        <f t="shared" si="128"/>
        <v>0</v>
      </c>
      <c r="AX256" s="1795">
        <f t="shared" si="129"/>
        <v>0</v>
      </c>
      <c r="AY256" s="42">
        <f t="shared" si="130"/>
        <v>1.23</v>
      </c>
      <c r="AZ256" s="35">
        <f t="shared" si="131"/>
        <v>10.99</v>
      </c>
      <c r="BA256" s="35">
        <f t="shared" si="132"/>
        <v>10.99</v>
      </c>
      <c r="BB256" s="35">
        <f t="shared" si="133"/>
        <v>10.99</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1272">
        <v>245</v>
      </c>
      <c r="B257" s="34"/>
      <c r="C257" s="34"/>
      <c r="D257" s="2952" t="s">
        <v>3068</v>
      </c>
      <c r="E257" s="16">
        <f t="shared" si="123"/>
        <v>1.24</v>
      </c>
      <c r="F257" s="36"/>
      <c r="G257" s="37">
        <f t="shared" si="124"/>
        <v>11.04</v>
      </c>
      <c r="H257" s="38">
        <f t="shared" si="125"/>
        <v>11.04</v>
      </c>
      <c r="I257" s="2957">
        <v>11.04</v>
      </c>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245</v>
      </c>
      <c r="AW257" s="1795">
        <f t="shared" si="128"/>
        <v>0</v>
      </c>
      <c r="AX257" s="1795">
        <f t="shared" si="129"/>
        <v>0</v>
      </c>
      <c r="AY257" s="42">
        <f t="shared" si="130"/>
        <v>1.24</v>
      </c>
      <c r="AZ257" s="35">
        <f t="shared" si="131"/>
        <v>11.04</v>
      </c>
      <c r="BA257" s="35">
        <f t="shared" si="132"/>
        <v>11.04</v>
      </c>
      <c r="BB257" s="35">
        <f t="shared" si="133"/>
        <v>11.04</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1272">
        <v>246</v>
      </c>
      <c r="B258" s="34"/>
      <c r="C258" s="34"/>
      <c r="D258" s="2952" t="s">
        <v>3068</v>
      </c>
      <c r="E258" s="16">
        <f t="shared" si="123"/>
        <v>1.24</v>
      </c>
      <c r="F258" s="36"/>
      <c r="G258" s="37">
        <f t="shared" si="124"/>
        <v>11.04</v>
      </c>
      <c r="H258" s="38">
        <f t="shared" si="125"/>
        <v>11.04</v>
      </c>
      <c r="I258" s="2957">
        <v>11.04</v>
      </c>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246</v>
      </c>
      <c r="AW258" s="1795">
        <f t="shared" si="128"/>
        <v>0</v>
      </c>
      <c r="AX258" s="1795">
        <f t="shared" si="129"/>
        <v>0</v>
      </c>
      <c r="AY258" s="42">
        <f t="shared" si="130"/>
        <v>1.24</v>
      </c>
      <c r="AZ258" s="35">
        <f t="shared" si="131"/>
        <v>11.04</v>
      </c>
      <c r="BA258" s="35">
        <f t="shared" si="132"/>
        <v>11.04</v>
      </c>
      <c r="BB258" s="35">
        <f t="shared" si="133"/>
        <v>11.04</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1272">
        <v>247</v>
      </c>
      <c r="B259" s="34"/>
      <c r="C259" s="34"/>
      <c r="D259" s="2952" t="s">
        <v>3068</v>
      </c>
      <c r="E259" s="16">
        <f t="shared" si="123"/>
        <v>1.24</v>
      </c>
      <c r="F259" s="36"/>
      <c r="G259" s="37">
        <f t="shared" si="124"/>
        <v>11.04</v>
      </c>
      <c r="H259" s="38">
        <f t="shared" si="125"/>
        <v>11.04</v>
      </c>
      <c r="I259" s="2957">
        <v>11.04</v>
      </c>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247</v>
      </c>
      <c r="AW259" s="1795">
        <f t="shared" si="128"/>
        <v>0</v>
      </c>
      <c r="AX259" s="1795">
        <f t="shared" si="129"/>
        <v>0</v>
      </c>
      <c r="AY259" s="42">
        <f t="shared" si="130"/>
        <v>1.24</v>
      </c>
      <c r="AZ259" s="35">
        <f t="shared" si="131"/>
        <v>11.04</v>
      </c>
      <c r="BA259" s="35">
        <f t="shared" si="132"/>
        <v>11.04</v>
      </c>
      <c r="BB259" s="35">
        <f t="shared" si="133"/>
        <v>11.04</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1272">
        <v>248</v>
      </c>
      <c r="B260" s="34"/>
      <c r="C260" s="34"/>
      <c r="D260" s="2952" t="s">
        <v>3068</v>
      </c>
      <c r="E260" s="16">
        <f t="shared" si="123"/>
        <v>1.24</v>
      </c>
      <c r="F260" s="36"/>
      <c r="G260" s="37">
        <f t="shared" si="124"/>
        <v>11.04</v>
      </c>
      <c r="H260" s="38">
        <f t="shared" si="125"/>
        <v>11.04</v>
      </c>
      <c r="I260" s="2957">
        <v>11.04</v>
      </c>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248</v>
      </c>
      <c r="AW260" s="1795">
        <f t="shared" si="128"/>
        <v>0</v>
      </c>
      <c r="AX260" s="1795">
        <f t="shared" si="129"/>
        <v>0</v>
      </c>
      <c r="AY260" s="42">
        <f t="shared" si="130"/>
        <v>1.24</v>
      </c>
      <c r="AZ260" s="35">
        <f t="shared" si="131"/>
        <v>11.04</v>
      </c>
      <c r="BA260" s="35">
        <f t="shared" si="132"/>
        <v>11.04</v>
      </c>
      <c r="BB260" s="35">
        <f t="shared" si="133"/>
        <v>11.04</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1272">
        <v>249</v>
      </c>
      <c r="B261" s="34"/>
      <c r="C261" s="34"/>
      <c r="D261" s="2952" t="s">
        <v>3068</v>
      </c>
      <c r="E261" s="16">
        <f t="shared" si="123"/>
        <v>1.24</v>
      </c>
      <c r="F261" s="36"/>
      <c r="G261" s="37">
        <f t="shared" si="124"/>
        <v>11.04</v>
      </c>
      <c r="H261" s="38">
        <f t="shared" si="125"/>
        <v>11.04</v>
      </c>
      <c r="I261" s="2957">
        <v>11.04</v>
      </c>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249</v>
      </c>
      <c r="AW261" s="1795">
        <f t="shared" si="128"/>
        <v>0</v>
      </c>
      <c r="AX261" s="1795">
        <f t="shared" si="129"/>
        <v>0</v>
      </c>
      <c r="AY261" s="42">
        <f t="shared" si="130"/>
        <v>1.24</v>
      </c>
      <c r="AZ261" s="35">
        <f t="shared" si="131"/>
        <v>11.04</v>
      </c>
      <c r="BA261" s="35">
        <f t="shared" si="132"/>
        <v>11.04</v>
      </c>
      <c r="BB261" s="35">
        <f t="shared" si="133"/>
        <v>11.04</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1272">
        <v>250</v>
      </c>
      <c r="B262" s="34"/>
      <c r="C262" s="34"/>
      <c r="D262" s="2952" t="s">
        <v>3068</v>
      </c>
      <c r="E262" s="16">
        <f t="shared" si="123"/>
        <v>1.24</v>
      </c>
      <c r="F262" s="36"/>
      <c r="G262" s="37">
        <f t="shared" si="124"/>
        <v>11.04</v>
      </c>
      <c r="H262" s="38">
        <f t="shared" si="125"/>
        <v>11.04</v>
      </c>
      <c r="I262" s="2957">
        <v>11.04</v>
      </c>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250</v>
      </c>
      <c r="AW262" s="1795">
        <f t="shared" si="128"/>
        <v>0</v>
      </c>
      <c r="AX262" s="1795">
        <f t="shared" si="129"/>
        <v>0</v>
      </c>
      <c r="AY262" s="42">
        <f t="shared" si="130"/>
        <v>1.24</v>
      </c>
      <c r="AZ262" s="35">
        <f t="shared" si="131"/>
        <v>11.04</v>
      </c>
      <c r="BA262" s="35">
        <f t="shared" si="132"/>
        <v>11.04</v>
      </c>
      <c r="BB262" s="35">
        <f t="shared" si="133"/>
        <v>11.04</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1272">
        <v>251</v>
      </c>
      <c r="B263" s="34"/>
      <c r="C263" s="34"/>
      <c r="D263" s="2952" t="s">
        <v>3068</v>
      </c>
      <c r="E263" s="16">
        <f t="shared" si="123"/>
        <v>1.44</v>
      </c>
      <c r="F263" s="36"/>
      <c r="G263" s="37">
        <f t="shared" si="124"/>
        <v>12.88</v>
      </c>
      <c r="H263" s="38">
        <f t="shared" si="125"/>
        <v>12.88</v>
      </c>
      <c r="I263" s="2957">
        <v>12.88</v>
      </c>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251</v>
      </c>
      <c r="AW263" s="1795">
        <f t="shared" si="128"/>
        <v>0</v>
      </c>
      <c r="AX263" s="1795">
        <f t="shared" si="129"/>
        <v>0</v>
      </c>
      <c r="AY263" s="42">
        <f t="shared" si="130"/>
        <v>1.44</v>
      </c>
      <c r="AZ263" s="35">
        <f t="shared" si="131"/>
        <v>12.88</v>
      </c>
      <c r="BA263" s="35">
        <f t="shared" si="132"/>
        <v>12.88</v>
      </c>
      <c r="BB263" s="35">
        <f t="shared" si="133"/>
        <v>12.88</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1272">
        <v>252</v>
      </c>
      <c r="B264" s="34"/>
      <c r="C264" s="34"/>
      <c r="D264" s="2952" t="s">
        <v>3068</v>
      </c>
      <c r="E264" s="16">
        <f t="shared" si="123"/>
        <v>1.27</v>
      </c>
      <c r="F264" s="36"/>
      <c r="G264" s="37">
        <f t="shared" si="124"/>
        <v>11.33</v>
      </c>
      <c r="H264" s="38">
        <f t="shared" si="125"/>
        <v>11.33</v>
      </c>
      <c r="I264" s="2957">
        <v>11.33</v>
      </c>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252</v>
      </c>
      <c r="AW264" s="1795">
        <f t="shared" si="128"/>
        <v>0</v>
      </c>
      <c r="AX264" s="1795">
        <f t="shared" si="129"/>
        <v>0</v>
      </c>
      <c r="AY264" s="42">
        <f t="shared" si="130"/>
        <v>1.27</v>
      </c>
      <c r="AZ264" s="35">
        <f t="shared" si="131"/>
        <v>11.33</v>
      </c>
      <c r="BA264" s="35">
        <f t="shared" si="132"/>
        <v>11.33</v>
      </c>
      <c r="BB264" s="35">
        <f t="shared" si="133"/>
        <v>11.33</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1272">
        <v>253</v>
      </c>
      <c r="B265" s="34"/>
      <c r="C265" s="34"/>
      <c r="D265" s="2952" t="s">
        <v>3068</v>
      </c>
      <c r="E265" s="16">
        <f t="shared" si="123"/>
        <v>1.27</v>
      </c>
      <c r="F265" s="36"/>
      <c r="G265" s="37">
        <f t="shared" si="124"/>
        <v>11.33</v>
      </c>
      <c r="H265" s="38">
        <f t="shared" si="125"/>
        <v>11.33</v>
      </c>
      <c r="I265" s="2957">
        <v>11.33</v>
      </c>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253</v>
      </c>
      <c r="AW265" s="1795">
        <f t="shared" si="128"/>
        <v>0</v>
      </c>
      <c r="AX265" s="1795">
        <f t="shared" si="129"/>
        <v>0</v>
      </c>
      <c r="AY265" s="42">
        <f t="shared" si="130"/>
        <v>1.27</v>
      </c>
      <c r="AZ265" s="35">
        <f t="shared" si="131"/>
        <v>11.33</v>
      </c>
      <c r="BA265" s="35">
        <f t="shared" si="132"/>
        <v>11.33</v>
      </c>
      <c r="BB265" s="35">
        <f t="shared" si="133"/>
        <v>11.33</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1272">
        <v>254</v>
      </c>
      <c r="B266" s="34"/>
      <c r="C266" s="34"/>
      <c r="D266" s="2952" t="s">
        <v>3068</v>
      </c>
      <c r="E266" s="16">
        <f t="shared" si="123"/>
        <v>1.27</v>
      </c>
      <c r="F266" s="36"/>
      <c r="G266" s="37">
        <f t="shared" si="124"/>
        <v>11.33</v>
      </c>
      <c r="H266" s="38">
        <f t="shared" si="125"/>
        <v>11.33</v>
      </c>
      <c r="I266" s="2957">
        <v>11.33</v>
      </c>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254</v>
      </c>
      <c r="AW266" s="1795">
        <f t="shared" si="128"/>
        <v>0</v>
      </c>
      <c r="AX266" s="1795">
        <f t="shared" si="129"/>
        <v>0</v>
      </c>
      <c r="AY266" s="42">
        <f t="shared" si="130"/>
        <v>1.27</v>
      </c>
      <c r="AZ266" s="35">
        <f t="shared" si="131"/>
        <v>11.33</v>
      </c>
      <c r="BA266" s="35">
        <f t="shared" si="132"/>
        <v>11.33</v>
      </c>
      <c r="BB266" s="35">
        <f t="shared" si="133"/>
        <v>11.33</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1272">
        <v>255</v>
      </c>
      <c r="B267" s="34"/>
      <c r="C267" s="34"/>
      <c r="D267" s="2952" t="s">
        <v>3068</v>
      </c>
      <c r="E267" s="16">
        <f t="shared" si="123"/>
        <v>1.27</v>
      </c>
      <c r="F267" s="36"/>
      <c r="G267" s="37">
        <f t="shared" si="124"/>
        <v>11.33</v>
      </c>
      <c r="H267" s="38">
        <f t="shared" si="125"/>
        <v>11.33</v>
      </c>
      <c r="I267" s="2957">
        <v>11.33</v>
      </c>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255</v>
      </c>
      <c r="AW267" s="1795">
        <f t="shared" si="128"/>
        <v>0</v>
      </c>
      <c r="AX267" s="1795">
        <f t="shared" si="129"/>
        <v>0</v>
      </c>
      <c r="AY267" s="42">
        <f t="shared" si="130"/>
        <v>1.27</v>
      </c>
      <c r="AZ267" s="35">
        <f t="shared" si="131"/>
        <v>11.33</v>
      </c>
      <c r="BA267" s="35">
        <f t="shared" si="132"/>
        <v>11.33</v>
      </c>
      <c r="BB267" s="35">
        <f t="shared" si="133"/>
        <v>11.33</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1272">
        <v>256</v>
      </c>
      <c r="B268" s="34"/>
      <c r="C268" s="34"/>
      <c r="D268" s="2952" t="s">
        <v>3068</v>
      </c>
      <c r="E268" s="16">
        <f t="shared" si="123"/>
        <v>1.58</v>
      </c>
      <c r="F268" s="36"/>
      <c r="G268" s="37">
        <f t="shared" si="124"/>
        <v>14.08</v>
      </c>
      <c r="H268" s="38">
        <f t="shared" si="125"/>
        <v>14.08</v>
      </c>
      <c r="I268" s="2212">
        <v>14.08</v>
      </c>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256</v>
      </c>
      <c r="AW268" s="1795">
        <f t="shared" si="128"/>
        <v>0</v>
      </c>
      <c r="AX268" s="1795">
        <f t="shared" si="129"/>
        <v>0</v>
      </c>
      <c r="AY268" s="42">
        <f t="shared" si="130"/>
        <v>1.58</v>
      </c>
      <c r="AZ268" s="35">
        <f t="shared" si="131"/>
        <v>14.08</v>
      </c>
      <c r="BA268" s="35">
        <f t="shared" si="132"/>
        <v>14.08</v>
      </c>
      <c r="BB268" s="35">
        <f t="shared" si="133"/>
        <v>14.08</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1272">
        <v>257</v>
      </c>
      <c r="B269" s="34"/>
      <c r="C269" s="34"/>
      <c r="D269" s="2952" t="s">
        <v>3068</v>
      </c>
      <c r="E269" s="16">
        <f t="shared" si="123"/>
        <v>1.67</v>
      </c>
      <c r="F269" s="36"/>
      <c r="G269" s="37">
        <f t="shared" si="124"/>
        <v>14.86</v>
      </c>
      <c r="H269" s="38">
        <f t="shared" si="125"/>
        <v>14.86</v>
      </c>
      <c r="I269" s="2212">
        <v>14.86</v>
      </c>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257</v>
      </c>
      <c r="AW269" s="1795">
        <f t="shared" si="128"/>
        <v>0</v>
      </c>
      <c r="AX269" s="1795">
        <f t="shared" si="129"/>
        <v>0</v>
      </c>
      <c r="AY269" s="42">
        <f t="shared" si="130"/>
        <v>1.67</v>
      </c>
      <c r="AZ269" s="35">
        <f t="shared" si="131"/>
        <v>14.86</v>
      </c>
      <c r="BA269" s="35">
        <f t="shared" si="132"/>
        <v>14.86</v>
      </c>
      <c r="BB269" s="35">
        <f t="shared" si="133"/>
        <v>14.86</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1272">
        <v>258</v>
      </c>
      <c r="B270" s="34"/>
      <c r="C270" s="34"/>
      <c r="D270" s="2952" t="s">
        <v>3068</v>
      </c>
      <c r="E270" s="16">
        <f t="shared" si="123"/>
        <v>1.5</v>
      </c>
      <c r="F270" s="36"/>
      <c r="G270" s="37">
        <f t="shared" si="124"/>
        <v>13.41</v>
      </c>
      <c r="H270" s="38">
        <f t="shared" si="125"/>
        <v>13.41</v>
      </c>
      <c r="I270" s="2212">
        <v>13.41</v>
      </c>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258</v>
      </c>
      <c r="AW270" s="1795">
        <f t="shared" si="128"/>
        <v>0</v>
      </c>
      <c r="AX270" s="1795">
        <f t="shared" si="129"/>
        <v>0</v>
      </c>
      <c r="AY270" s="42">
        <f t="shared" si="130"/>
        <v>1.5</v>
      </c>
      <c r="AZ270" s="35">
        <f t="shared" si="131"/>
        <v>13.41</v>
      </c>
      <c r="BA270" s="35">
        <f t="shared" si="132"/>
        <v>13.41</v>
      </c>
      <c r="BB270" s="35">
        <f t="shared" si="133"/>
        <v>13.41</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1272">
        <v>259</v>
      </c>
      <c r="B271" s="34"/>
      <c r="C271" s="34"/>
      <c r="D271" s="2952" t="s">
        <v>3068</v>
      </c>
      <c r="E271" s="16">
        <f t="shared" si="123"/>
        <v>1.51</v>
      </c>
      <c r="F271" s="36"/>
      <c r="G271" s="37">
        <f t="shared" si="124"/>
        <v>13.46</v>
      </c>
      <c r="H271" s="38">
        <f t="shared" si="125"/>
        <v>13.46</v>
      </c>
      <c r="I271" s="2212">
        <v>13.46</v>
      </c>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259</v>
      </c>
      <c r="AW271" s="1795">
        <f t="shared" si="128"/>
        <v>0</v>
      </c>
      <c r="AX271" s="1795">
        <f t="shared" si="129"/>
        <v>0</v>
      </c>
      <c r="AY271" s="42">
        <f t="shared" si="130"/>
        <v>1.51</v>
      </c>
      <c r="AZ271" s="35">
        <f t="shared" si="131"/>
        <v>13.46</v>
      </c>
      <c r="BA271" s="35">
        <f t="shared" si="132"/>
        <v>13.46</v>
      </c>
      <c r="BB271" s="35">
        <f t="shared" si="133"/>
        <v>13.46</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1272">
        <v>260</v>
      </c>
      <c r="B272" s="34"/>
      <c r="C272" s="34"/>
      <c r="D272" s="2952" t="s">
        <v>3068</v>
      </c>
      <c r="E272" s="16">
        <f t="shared" si="123"/>
        <v>1.71</v>
      </c>
      <c r="F272" s="36"/>
      <c r="G272" s="37">
        <f t="shared" si="124"/>
        <v>15.23</v>
      </c>
      <c r="H272" s="38">
        <f t="shared" si="125"/>
        <v>15.23</v>
      </c>
      <c r="I272" s="2212">
        <v>15.23</v>
      </c>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260</v>
      </c>
      <c r="AW272" s="1795">
        <f t="shared" si="128"/>
        <v>0</v>
      </c>
      <c r="AX272" s="1795">
        <f t="shared" si="129"/>
        <v>0</v>
      </c>
      <c r="AY272" s="42">
        <f t="shared" si="130"/>
        <v>1.71</v>
      </c>
      <c r="AZ272" s="35">
        <f t="shared" si="131"/>
        <v>15.23</v>
      </c>
      <c r="BA272" s="35">
        <f t="shared" si="132"/>
        <v>15.23</v>
      </c>
      <c r="BB272" s="35">
        <f t="shared" si="133"/>
        <v>15.23</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1272">
        <v>261</v>
      </c>
      <c r="B273" s="34"/>
      <c r="C273" s="34"/>
      <c r="D273" s="2952" t="s">
        <v>3068</v>
      </c>
      <c r="E273" s="16">
        <f t="shared" si="123"/>
        <v>1.71</v>
      </c>
      <c r="F273" s="36"/>
      <c r="G273" s="37">
        <f t="shared" si="124"/>
        <v>15.23</v>
      </c>
      <c r="H273" s="38">
        <f t="shared" si="125"/>
        <v>15.23</v>
      </c>
      <c r="I273" s="2212">
        <v>15.23</v>
      </c>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261</v>
      </c>
      <c r="AW273" s="1795">
        <f t="shared" si="128"/>
        <v>0</v>
      </c>
      <c r="AX273" s="1795">
        <f t="shared" si="129"/>
        <v>0</v>
      </c>
      <c r="AY273" s="42">
        <f t="shared" si="130"/>
        <v>1.71</v>
      </c>
      <c r="AZ273" s="35">
        <f t="shared" si="131"/>
        <v>15.23</v>
      </c>
      <c r="BA273" s="35">
        <f t="shared" si="132"/>
        <v>15.23</v>
      </c>
      <c r="BB273" s="35">
        <f t="shared" si="133"/>
        <v>15.23</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1272">
        <v>262</v>
      </c>
      <c r="B274" s="34"/>
      <c r="C274" s="34"/>
      <c r="D274" s="2952" t="s">
        <v>3068</v>
      </c>
      <c r="E274" s="16">
        <f t="shared" si="123"/>
        <v>1.51</v>
      </c>
      <c r="F274" s="36"/>
      <c r="G274" s="37">
        <f t="shared" si="124"/>
        <v>13.46</v>
      </c>
      <c r="H274" s="38">
        <f t="shared" si="125"/>
        <v>13.46</v>
      </c>
      <c r="I274" s="2212">
        <v>13.46</v>
      </c>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262</v>
      </c>
      <c r="AW274" s="1795">
        <f t="shared" si="128"/>
        <v>0</v>
      </c>
      <c r="AX274" s="1795">
        <f t="shared" si="129"/>
        <v>0</v>
      </c>
      <c r="AY274" s="42">
        <f t="shared" si="130"/>
        <v>1.51</v>
      </c>
      <c r="AZ274" s="35">
        <f t="shared" si="131"/>
        <v>13.46</v>
      </c>
      <c r="BA274" s="35">
        <f t="shared" si="132"/>
        <v>13.46</v>
      </c>
      <c r="BB274" s="35">
        <f t="shared" si="133"/>
        <v>13.46</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1272">
        <v>263</v>
      </c>
      <c r="B275" s="34"/>
      <c r="C275" s="34"/>
      <c r="D275" s="2952" t="s">
        <v>3068</v>
      </c>
      <c r="E275" s="16">
        <f t="shared" si="123"/>
        <v>1.5</v>
      </c>
      <c r="F275" s="36"/>
      <c r="G275" s="37">
        <f t="shared" si="124"/>
        <v>13.41</v>
      </c>
      <c r="H275" s="38">
        <f t="shared" si="125"/>
        <v>13.41</v>
      </c>
      <c r="I275" s="2212">
        <v>13.41</v>
      </c>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263</v>
      </c>
      <c r="AW275" s="1795">
        <f t="shared" si="128"/>
        <v>0</v>
      </c>
      <c r="AX275" s="1795">
        <f t="shared" si="129"/>
        <v>0</v>
      </c>
      <c r="AY275" s="42">
        <f t="shared" si="130"/>
        <v>1.5</v>
      </c>
      <c r="AZ275" s="35">
        <f t="shared" si="131"/>
        <v>13.41</v>
      </c>
      <c r="BA275" s="35">
        <f t="shared" si="132"/>
        <v>13.41</v>
      </c>
      <c r="BB275" s="35">
        <f t="shared" si="133"/>
        <v>13.41</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1272">
        <v>264</v>
      </c>
      <c r="B276" s="34"/>
      <c r="C276" s="34"/>
      <c r="D276" s="2952" t="s">
        <v>3068</v>
      </c>
      <c r="E276" s="16">
        <f t="shared" si="123"/>
        <v>1.67</v>
      </c>
      <c r="F276" s="36"/>
      <c r="G276" s="37">
        <f t="shared" si="124"/>
        <v>14.86</v>
      </c>
      <c r="H276" s="38">
        <f t="shared" si="125"/>
        <v>14.86</v>
      </c>
      <c r="I276" s="2212">
        <v>14.86</v>
      </c>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264</v>
      </c>
      <c r="AW276" s="1795">
        <f t="shared" si="128"/>
        <v>0</v>
      </c>
      <c r="AX276" s="1795">
        <f t="shared" si="129"/>
        <v>0</v>
      </c>
      <c r="AY276" s="42">
        <f t="shared" si="130"/>
        <v>1.67</v>
      </c>
      <c r="AZ276" s="35">
        <f t="shared" si="131"/>
        <v>14.86</v>
      </c>
      <c r="BA276" s="35">
        <f t="shared" si="132"/>
        <v>14.86</v>
      </c>
      <c r="BB276" s="35">
        <f t="shared" si="133"/>
        <v>14.86</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1272">
        <v>265</v>
      </c>
      <c r="B277" s="34"/>
      <c r="C277" s="34"/>
      <c r="D277" s="2952" t="s">
        <v>3068</v>
      </c>
      <c r="E277" s="16">
        <f t="shared" si="123"/>
        <v>1.02</v>
      </c>
      <c r="F277" s="36"/>
      <c r="G277" s="37">
        <f t="shared" si="124"/>
        <v>9.08</v>
      </c>
      <c r="H277" s="38">
        <f t="shared" si="125"/>
        <v>9.08</v>
      </c>
      <c r="I277" s="2212">
        <v>9.08</v>
      </c>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265</v>
      </c>
      <c r="AW277" s="1795">
        <f t="shared" si="128"/>
        <v>0</v>
      </c>
      <c r="AX277" s="1795">
        <f t="shared" si="129"/>
        <v>0</v>
      </c>
      <c r="AY277" s="42">
        <f t="shared" si="130"/>
        <v>1.02</v>
      </c>
      <c r="AZ277" s="35">
        <f t="shared" si="131"/>
        <v>9.08</v>
      </c>
      <c r="BA277" s="35">
        <f t="shared" si="132"/>
        <v>9.08</v>
      </c>
      <c r="BB277" s="35">
        <f t="shared" si="133"/>
        <v>9.08</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1272">
        <v>266</v>
      </c>
      <c r="B278" s="34"/>
      <c r="C278" s="34"/>
      <c r="D278" s="2952" t="s">
        <v>3068</v>
      </c>
      <c r="E278" s="16">
        <f t="shared" si="123"/>
        <v>1.1499999999999999</v>
      </c>
      <c r="F278" s="36"/>
      <c r="G278" s="37">
        <f t="shared" si="124"/>
        <v>10.3</v>
      </c>
      <c r="H278" s="38">
        <f t="shared" si="125"/>
        <v>10.3</v>
      </c>
      <c r="I278" s="2212">
        <v>10.3</v>
      </c>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266</v>
      </c>
      <c r="AW278" s="1795">
        <f t="shared" si="128"/>
        <v>0</v>
      </c>
      <c r="AX278" s="1795">
        <f t="shared" si="129"/>
        <v>0</v>
      </c>
      <c r="AY278" s="42">
        <f t="shared" si="130"/>
        <v>1.1499999999999999</v>
      </c>
      <c r="AZ278" s="35">
        <f t="shared" si="131"/>
        <v>10.3</v>
      </c>
      <c r="BA278" s="35">
        <f t="shared" si="132"/>
        <v>10.3</v>
      </c>
      <c r="BB278" s="35">
        <f t="shared" si="133"/>
        <v>10.3</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1272">
        <v>267</v>
      </c>
      <c r="B279" s="34"/>
      <c r="C279" s="34"/>
      <c r="D279" s="2952" t="s">
        <v>3068</v>
      </c>
      <c r="E279" s="16">
        <f t="shared" si="123"/>
        <v>1.1599999999999999</v>
      </c>
      <c r="F279" s="36"/>
      <c r="G279" s="37">
        <f t="shared" si="124"/>
        <v>10.33</v>
      </c>
      <c r="H279" s="38">
        <f t="shared" si="125"/>
        <v>10.33</v>
      </c>
      <c r="I279" s="2212">
        <v>10.33</v>
      </c>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267</v>
      </c>
      <c r="AW279" s="1795">
        <f t="shared" si="128"/>
        <v>0</v>
      </c>
      <c r="AX279" s="1795">
        <f t="shared" si="129"/>
        <v>0</v>
      </c>
      <c r="AY279" s="42">
        <f t="shared" si="130"/>
        <v>1.1599999999999999</v>
      </c>
      <c r="AZ279" s="35">
        <f t="shared" si="131"/>
        <v>10.33</v>
      </c>
      <c r="BA279" s="35">
        <f t="shared" si="132"/>
        <v>10.33</v>
      </c>
      <c r="BB279" s="35">
        <f t="shared" si="133"/>
        <v>10.33</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1272">
        <v>268</v>
      </c>
      <c r="B280" s="34"/>
      <c r="C280" s="34"/>
      <c r="D280" s="2952" t="s">
        <v>3068</v>
      </c>
      <c r="E280" s="16">
        <f t="shared" si="123"/>
        <v>1.1599999999999999</v>
      </c>
      <c r="F280" s="36"/>
      <c r="G280" s="37">
        <f t="shared" si="124"/>
        <v>10.35</v>
      </c>
      <c r="H280" s="38">
        <f t="shared" si="125"/>
        <v>10.35</v>
      </c>
      <c r="I280" s="2212">
        <v>10.35</v>
      </c>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268</v>
      </c>
      <c r="AW280" s="1795">
        <f t="shared" si="128"/>
        <v>0</v>
      </c>
      <c r="AX280" s="1795">
        <f t="shared" si="129"/>
        <v>0</v>
      </c>
      <c r="AY280" s="42">
        <f t="shared" si="130"/>
        <v>1.1599999999999999</v>
      </c>
      <c r="AZ280" s="35">
        <f t="shared" si="131"/>
        <v>10.35</v>
      </c>
      <c r="BA280" s="35">
        <f t="shared" si="132"/>
        <v>10.35</v>
      </c>
      <c r="BB280" s="35">
        <f t="shared" si="133"/>
        <v>10.35</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1272">
        <v>269</v>
      </c>
      <c r="B281" s="34"/>
      <c r="C281" s="34"/>
      <c r="D281" s="2952" t="s">
        <v>3068</v>
      </c>
      <c r="E281" s="16">
        <f t="shared" si="123"/>
        <v>1.1399999999999999</v>
      </c>
      <c r="F281" s="36"/>
      <c r="G281" s="37">
        <f t="shared" si="124"/>
        <v>10.17</v>
      </c>
      <c r="H281" s="38">
        <f t="shared" si="125"/>
        <v>10.17</v>
      </c>
      <c r="I281" s="2212">
        <v>10.17</v>
      </c>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269</v>
      </c>
      <c r="AW281" s="1795">
        <f t="shared" si="128"/>
        <v>0</v>
      </c>
      <c r="AX281" s="1795">
        <f t="shared" si="129"/>
        <v>0</v>
      </c>
      <c r="AY281" s="42">
        <f t="shared" si="130"/>
        <v>1.1399999999999999</v>
      </c>
      <c r="AZ281" s="35">
        <f t="shared" si="131"/>
        <v>10.17</v>
      </c>
      <c r="BA281" s="35">
        <f t="shared" si="132"/>
        <v>10.17</v>
      </c>
      <c r="BB281" s="35">
        <f t="shared" si="133"/>
        <v>10.17</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1272">
        <v>270</v>
      </c>
      <c r="B282" s="34"/>
      <c r="C282" s="34"/>
      <c r="D282" s="2952" t="s">
        <v>3068</v>
      </c>
      <c r="E282" s="16">
        <f t="shared" si="123"/>
        <v>1.1499999999999999</v>
      </c>
      <c r="F282" s="36"/>
      <c r="G282" s="37">
        <f t="shared" si="124"/>
        <v>10.26</v>
      </c>
      <c r="H282" s="38">
        <f t="shared" si="125"/>
        <v>10.26</v>
      </c>
      <c r="I282" s="2212">
        <v>10.26</v>
      </c>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270</v>
      </c>
      <c r="AW282" s="1795">
        <f t="shared" si="128"/>
        <v>0</v>
      </c>
      <c r="AX282" s="1795">
        <f t="shared" si="129"/>
        <v>0</v>
      </c>
      <c r="AY282" s="42">
        <f t="shared" si="130"/>
        <v>1.1499999999999999</v>
      </c>
      <c r="AZ282" s="35">
        <f t="shared" si="131"/>
        <v>10.26</v>
      </c>
      <c r="BA282" s="35">
        <f t="shared" si="132"/>
        <v>10.26</v>
      </c>
      <c r="BB282" s="35">
        <f t="shared" si="133"/>
        <v>10.26</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1272">
        <v>271</v>
      </c>
      <c r="B283" s="34"/>
      <c r="C283" s="34"/>
      <c r="D283" s="2952" t="s">
        <v>3068</v>
      </c>
      <c r="E283" s="16">
        <f t="shared" si="123"/>
        <v>1.1499999999999999</v>
      </c>
      <c r="F283" s="36"/>
      <c r="G283" s="37">
        <f t="shared" si="124"/>
        <v>10.3</v>
      </c>
      <c r="H283" s="38">
        <f t="shared" si="125"/>
        <v>10.3</v>
      </c>
      <c r="I283" s="2212">
        <v>10.3</v>
      </c>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271</v>
      </c>
      <c r="AW283" s="1795">
        <f t="shared" si="128"/>
        <v>0</v>
      </c>
      <c r="AX283" s="1795">
        <f t="shared" si="129"/>
        <v>0</v>
      </c>
      <c r="AY283" s="42">
        <f t="shared" si="130"/>
        <v>1.1499999999999999</v>
      </c>
      <c r="AZ283" s="35">
        <f t="shared" si="131"/>
        <v>10.3</v>
      </c>
      <c r="BA283" s="35">
        <f t="shared" si="132"/>
        <v>10.3</v>
      </c>
      <c r="BB283" s="35">
        <f t="shared" si="133"/>
        <v>10.3</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1272">
        <v>272</v>
      </c>
      <c r="B284" s="34"/>
      <c r="C284" s="34"/>
      <c r="D284" s="2952" t="s">
        <v>3068</v>
      </c>
      <c r="E284" s="16">
        <f t="shared" si="123"/>
        <v>1.08</v>
      </c>
      <c r="F284" s="36"/>
      <c r="G284" s="37">
        <f t="shared" si="124"/>
        <v>9.6199999999999992</v>
      </c>
      <c r="H284" s="38">
        <f t="shared" si="125"/>
        <v>9.6199999999999992</v>
      </c>
      <c r="I284" s="2212">
        <v>9.6199999999999992</v>
      </c>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272</v>
      </c>
      <c r="AW284" s="1795">
        <f t="shared" si="128"/>
        <v>0</v>
      </c>
      <c r="AX284" s="1795">
        <f t="shared" si="129"/>
        <v>0</v>
      </c>
      <c r="AY284" s="42">
        <f t="shared" si="130"/>
        <v>1.08</v>
      </c>
      <c r="AZ284" s="35">
        <f t="shared" si="131"/>
        <v>9.6199999999999992</v>
      </c>
      <c r="BA284" s="35">
        <f t="shared" si="132"/>
        <v>9.6199999999999992</v>
      </c>
      <c r="BB284" s="35">
        <f t="shared" si="133"/>
        <v>9.6199999999999992</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1272">
        <v>273</v>
      </c>
      <c r="B285" s="34"/>
      <c r="C285" s="34"/>
      <c r="D285" s="2952" t="s">
        <v>3068</v>
      </c>
      <c r="E285" s="16">
        <f t="shared" si="123"/>
        <v>1.31</v>
      </c>
      <c r="F285" s="36"/>
      <c r="G285" s="37">
        <f t="shared" si="124"/>
        <v>11.72</v>
      </c>
      <c r="H285" s="38">
        <f t="shared" si="125"/>
        <v>11.72</v>
      </c>
      <c r="I285" s="2212">
        <v>11.72</v>
      </c>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273</v>
      </c>
      <c r="AW285" s="1795">
        <f t="shared" si="128"/>
        <v>0</v>
      </c>
      <c r="AX285" s="1795">
        <f t="shared" si="129"/>
        <v>0</v>
      </c>
      <c r="AY285" s="42">
        <f t="shared" si="130"/>
        <v>1.31</v>
      </c>
      <c r="AZ285" s="35">
        <f t="shared" si="131"/>
        <v>11.72</v>
      </c>
      <c r="BA285" s="35">
        <f t="shared" si="132"/>
        <v>11.72</v>
      </c>
      <c r="BB285" s="35">
        <f t="shared" si="133"/>
        <v>11.72</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1272">
        <v>274</v>
      </c>
      <c r="B286" s="34"/>
      <c r="C286" s="34"/>
      <c r="D286" s="2952" t="s">
        <v>3068</v>
      </c>
      <c r="E286" s="16">
        <f t="shared" si="123"/>
        <v>1.33</v>
      </c>
      <c r="F286" s="36"/>
      <c r="G286" s="37">
        <f t="shared" si="124"/>
        <v>11.9</v>
      </c>
      <c r="H286" s="38">
        <f t="shared" si="125"/>
        <v>11.9</v>
      </c>
      <c r="I286" s="2212">
        <v>11.9</v>
      </c>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274</v>
      </c>
      <c r="AW286" s="1795">
        <f t="shared" si="128"/>
        <v>0</v>
      </c>
      <c r="AX286" s="1795">
        <f t="shared" si="129"/>
        <v>0</v>
      </c>
      <c r="AY286" s="42">
        <f t="shared" si="130"/>
        <v>1.33</v>
      </c>
      <c r="AZ286" s="35">
        <f t="shared" si="131"/>
        <v>11.9</v>
      </c>
      <c r="BA286" s="35">
        <f t="shared" si="132"/>
        <v>11.9</v>
      </c>
      <c r="BB286" s="35">
        <f t="shared" si="133"/>
        <v>11.9</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1272">
        <v>275</v>
      </c>
      <c r="B287" s="34"/>
      <c r="C287" s="34"/>
      <c r="D287" s="2952" t="s">
        <v>3068</v>
      </c>
      <c r="E287" s="16">
        <f t="shared" si="123"/>
        <v>1.32</v>
      </c>
      <c r="F287" s="36"/>
      <c r="G287" s="37">
        <f t="shared" si="124"/>
        <v>11.81</v>
      </c>
      <c r="H287" s="38">
        <f t="shared" si="125"/>
        <v>11.81</v>
      </c>
      <c r="I287" s="2212">
        <v>11.81</v>
      </c>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275</v>
      </c>
      <c r="AW287" s="1795">
        <f t="shared" si="128"/>
        <v>0</v>
      </c>
      <c r="AX287" s="1795">
        <f t="shared" si="129"/>
        <v>0</v>
      </c>
      <c r="AY287" s="42">
        <f t="shared" si="130"/>
        <v>1.32</v>
      </c>
      <c r="AZ287" s="35">
        <f t="shared" si="131"/>
        <v>11.81</v>
      </c>
      <c r="BA287" s="35">
        <f t="shared" si="132"/>
        <v>11.81</v>
      </c>
      <c r="BB287" s="35">
        <f t="shared" si="133"/>
        <v>11.81</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1272">
        <v>276</v>
      </c>
      <c r="B288" s="34"/>
      <c r="C288" s="34"/>
      <c r="D288" s="2952" t="s">
        <v>3068</v>
      </c>
      <c r="E288" s="16">
        <f t="shared" si="123"/>
        <v>1.32</v>
      </c>
      <c r="F288" s="36"/>
      <c r="G288" s="37">
        <f t="shared" si="124"/>
        <v>11.75</v>
      </c>
      <c r="H288" s="38">
        <f t="shared" si="125"/>
        <v>11.75</v>
      </c>
      <c r="I288" s="2212">
        <v>11.75</v>
      </c>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276</v>
      </c>
      <c r="AW288" s="1795">
        <f t="shared" si="128"/>
        <v>0</v>
      </c>
      <c r="AX288" s="1795">
        <f t="shared" si="129"/>
        <v>0</v>
      </c>
      <c r="AY288" s="42">
        <f t="shared" si="130"/>
        <v>1.32</v>
      </c>
      <c r="AZ288" s="35">
        <f t="shared" si="131"/>
        <v>11.75</v>
      </c>
      <c r="BA288" s="35">
        <f t="shared" si="132"/>
        <v>11.75</v>
      </c>
      <c r="BB288" s="35">
        <f t="shared" si="133"/>
        <v>11.75</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1272">
        <v>277</v>
      </c>
      <c r="B289" s="34"/>
      <c r="C289" s="34"/>
      <c r="D289" s="2952" t="s">
        <v>3068</v>
      </c>
      <c r="E289" s="16">
        <f t="shared" si="123"/>
        <v>1.34</v>
      </c>
      <c r="F289" s="36"/>
      <c r="G289" s="37">
        <f t="shared" si="124"/>
        <v>11.95</v>
      </c>
      <c r="H289" s="38">
        <f t="shared" si="125"/>
        <v>11.95</v>
      </c>
      <c r="I289" s="2212">
        <v>11.95</v>
      </c>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277</v>
      </c>
      <c r="AW289" s="1795">
        <f t="shared" si="128"/>
        <v>0</v>
      </c>
      <c r="AX289" s="1795">
        <f t="shared" si="129"/>
        <v>0</v>
      </c>
      <c r="AY289" s="42">
        <f t="shared" si="130"/>
        <v>1.34</v>
      </c>
      <c r="AZ289" s="35">
        <f t="shared" si="131"/>
        <v>11.95</v>
      </c>
      <c r="BA289" s="35">
        <f t="shared" si="132"/>
        <v>11.95</v>
      </c>
      <c r="BB289" s="35">
        <f t="shared" si="133"/>
        <v>11.95</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1272">
        <v>278</v>
      </c>
      <c r="B290" s="34"/>
      <c r="C290" s="34"/>
      <c r="D290" s="2952" t="s">
        <v>3068</v>
      </c>
      <c r="E290" s="16">
        <f t="shared" si="123"/>
        <v>1.33</v>
      </c>
      <c r="F290" s="36"/>
      <c r="G290" s="37">
        <f t="shared" si="124"/>
        <v>11.9</v>
      </c>
      <c r="H290" s="38">
        <f t="shared" si="125"/>
        <v>11.9</v>
      </c>
      <c r="I290" s="2212">
        <v>11.9</v>
      </c>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278</v>
      </c>
      <c r="AW290" s="1795">
        <f t="shared" si="128"/>
        <v>0</v>
      </c>
      <c r="AX290" s="1795">
        <f t="shared" si="129"/>
        <v>0</v>
      </c>
      <c r="AY290" s="42">
        <f t="shared" si="130"/>
        <v>1.33</v>
      </c>
      <c r="AZ290" s="35">
        <f t="shared" si="131"/>
        <v>11.9</v>
      </c>
      <c r="BA290" s="35">
        <f t="shared" si="132"/>
        <v>11.9</v>
      </c>
      <c r="BB290" s="35">
        <f t="shared" si="133"/>
        <v>11.9</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1272">
        <v>279</v>
      </c>
      <c r="B291" s="34"/>
      <c r="C291" s="34"/>
      <c r="D291" s="2952" t="s">
        <v>3068</v>
      </c>
      <c r="E291" s="16">
        <f t="shared" si="123"/>
        <v>1.33</v>
      </c>
      <c r="F291" s="36"/>
      <c r="G291" s="37">
        <f t="shared" si="124"/>
        <v>11.88</v>
      </c>
      <c r="H291" s="38">
        <f t="shared" si="125"/>
        <v>11.88</v>
      </c>
      <c r="I291" s="2212">
        <v>11.88</v>
      </c>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279</v>
      </c>
      <c r="AW291" s="1795">
        <f t="shared" si="128"/>
        <v>0</v>
      </c>
      <c r="AX291" s="1795">
        <f t="shared" si="129"/>
        <v>0</v>
      </c>
      <c r="AY291" s="42">
        <f t="shared" si="130"/>
        <v>1.33</v>
      </c>
      <c r="AZ291" s="35">
        <f t="shared" si="131"/>
        <v>11.88</v>
      </c>
      <c r="BA291" s="35">
        <f t="shared" si="132"/>
        <v>11.88</v>
      </c>
      <c r="BB291" s="35">
        <f t="shared" si="133"/>
        <v>11.88</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1272">
        <v>280</v>
      </c>
      <c r="B292" s="34"/>
      <c r="C292" s="34"/>
      <c r="D292" s="2952" t="s">
        <v>3068</v>
      </c>
      <c r="E292" s="16">
        <f t="shared" si="123"/>
        <v>1.28</v>
      </c>
      <c r="F292" s="36"/>
      <c r="G292" s="37">
        <f t="shared" si="124"/>
        <v>11.46</v>
      </c>
      <c r="H292" s="38">
        <f t="shared" si="125"/>
        <v>11.46</v>
      </c>
      <c r="I292" s="2212">
        <v>11.46</v>
      </c>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280</v>
      </c>
      <c r="AW292" s="1795">
        <f t="shared" si="128"/>
        <v>0</v>
      </c>
      <c r="AX292" s="1795">
        <f t="shared" si="129"/>
        <v>0</v>
      </c>
      <c r="AY292" s="42">
        <f t="shared" si="130"/>
        <v>1.28</v>
      </c>
      <c r="AZ292" s="35">
        <f t="shared" si="131"/>
        <v>11.46</v>
      </c>
      <c r="BA292" s="35">
        <f t="shared" si="132"/>
        <v>11.46</v>
      </c>
      <c r="BB292" s="35">
        <f t="shared" si="133"/>
        <v>11.46</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1272">
        <v>281</v>
      </c>
      <c r="B293" s="34"/>
      <c r="C293" s="34"/>
      <c r="D293" s="2952" t="s">
        <v>3068</v>
      </c>
      <c r="E293" s="16">
        <f t="shared" si="123"/>
        <v>1.1000000000000001</v>
      </c>
      <c r="F293" s="36"/>
      <c r="G293" s="37">
        <f t="shared" si="124"/>
        <v>9.77</v>
      </c>
      <c r="H293" s="38">
        <f t="shared" si="125"/>
        <v>9.77</v>
      </c>
      <c r="I293" s="2212">
        <v>9.77</v>
      </c>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281</v>
      </c>
      <c r="AW293" s="1795">
        <f t="shared" si="128"/>
        <v>0</v>
      </c>
      <c r="AX293" s="1795">
        <f t="shared" si="129"/>
        <v>0</v>
      </c>
      <c r="AY293" s="42">
        <f t="shared" si="130"/>
        <v>1.1000000000000001</v>
      </c>
      <c r="AZ293" s="35">
        <f t="shared" si="131"/>
        <v>9.77</v>
      </c>
      <c r="BA293" s="35">
        <f t="shared" si="132"/>
        <v>9.77</v>
      </c>
      <c r="BB293" s="35">
        <f t="shared" si="133"/>
        <v>9.77</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1272">
        <v>282</v>
      </c>
      <c r="B294" s="34"/>
      <c r="C294" s="34"/>
      <c r="D294" s="2952" t="s">
        <v>3068</v>
      </c>
      <c r="E294" s="16">
        <f t="shared" si="123"/>
        <v>1.17</v>
      </c>
      <c r="F294" s="36"/>
      <c r="G294" s="37">
        <f t="shared" si="124"/>
        <v>10.46</v>
      </c>
      <c r="H294" s="38">
        <f t="shared" si="125"/>
        <v>10.46</v>
      </c>
      <c r="I294" s="2212">
        <v>10.46</v>
      </c>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282</v>
      </c>
      <c r="AW294" s="1795">
        <f t="shared" si="128"/>
        <v>0</v>
      </c>
      <c r="AX294" s="1795">
        <f t="shared" si="129"/>
        <v>0</v>
      </c>
      <c r="AY294" s="42">
        <f t="shared" si="130"/>
        <v>1.17</v>
      </c>
      <c r="AZ294" s="35">
        <f t="shared" si="131"/>
        <v>10.46</v>
      </c>
      <c r="BA294" s="35">
        <f t="shared" si="132"/>
        <v>10.46</v>
      </c>
      <c r="BB294" s="35">
        <f t="shared" si="133"/>
        <v>10.46</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1272">
        <v>283</v>
      </c>
      <c r="B295" s="34"/>
      <c r="C295" s="34"/>
      <c r="D295" s="2952" t="s">
        <v>3068</v>
      </c>
      <c r="E295" s="16">
        <f t="shared" si="123"/>
        <v>1.1399999999999999</v>
      </c>
      <c r="F295" s="36"/>
      <c r="G295" s="37">
        <f t="shared" si="124"/>
        <v>10.210000000000001</v>
      </c>
      <c r="H295" s="38">
        <f t="shared" si="125"/>
        <v>10.210000000000001</v>
      </c>
      <c r="I295" s="2212">
        <v>10.210000000000001</v>
      </c>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283</v>
      </c>
      <c r="AW295" s="1795">
        <f t="shared" si="128"/>
        <v>0</v>
      </c>
      <c r="AX295" s="1795">
        <f t="shared" si="129"/>
        <v>0</v>
      </c>
      <c r="AY295" s="42">
        <f t="shared" si="130"/>
        <v>1.1399999999999999</v>
      </c>
      <c r="AZ295" s="35">
        <f t="shared" si="131"/>
        <v>10.210000000000001</v>
      </c>
      <c r="BA295" s="35">
        <f t="shared" si="132"/>
        <v>10.210000000000001</v>
      </c>
      <c r="BB295" s="35">
        <f t="shared" si="133"/>
        <v>10.210000000000001</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1272">
        <v>284</v>
      </c>
      <c r="B296" s="34"/>
      <c r="C296" s="34"/>
      <c r="D296" s="2952" t="s">
        <v>3068</v>
      </c>
      <c r="E296" s="16">
        <f t="shared" si="123"/>
        <v>1.1499999999999999</v>
      </c>
      <c r="F296" s="36"/>
      <c r="G296" s="37">
        <f t="shared" si="124"/>
        <v>10.3</v>
      </c>
      <c r="H296" s="38">
        <f t="shared" si="125"/>
        <v>10.3</v>
      </c>
      <c r="I296" s="2212">
        <v>10.3</v>
      </c>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284</v>
      </c>
      <c r="AW296" s="1795">
        <f t="shared" si="128"/>
        <v>0</v>
      </c>
      <c r="AX296" s="1795">
        <f t="shared" si="129"/>
        <v>0</v>
      </c>
      <c r="AY296" s="42">
        <f t="shared" si="130"/>
        <v>1.1499999999999999</v>
      </c>
      <c r="AZ296" s="35">
        <f t="shared" si="131"/>
        <v>10.3</v>
      </c>
      <c r="BA296" s="35">
        <f t="shared" si="132"/>
        <v>10.3</v>
      </c>
      <c r="BB296" s="35">
        <f t="shared" si="133"/>
        <v>10.3</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1272">
        <v>285</v>
      </c>
      <c r="B297" s="34"/>
      <c r="C297" s="34"/>
      <c r="D297" s="2952" t="s">
        <v>3068</v>
      </c>
      <c r="E297" s="16">
        <f t="shared" si="123"/>
        <v>1.1299999999999999</v>
      </c>
      <c r="F297" s="36"/>
      <c r="G297" s="37">
        <f t="shared" si="124"/>
        <v>10.1</v>
      </c>
      <c r="H297" s="38">
        <f t="shared" si="125"/>
        <v>10.1</v>
      </c>
      <c r="I297" s="2954">
        <v>10.1</v>
      </c>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285</v>
      </c>
      <c r="AW297" s="1795">
        <f t="shared" si="128"/>
        <v>0</v>
      </c>
      <c r="AX297" s="1795">
        <f t="shared" si="129"/>
        <v>0</v>
      </c>
      <c r="AY297" s="42">
        <f t="shared" si="130"/>
        <v>1.1299999999999999</v>
      </c>
      <c r="AZ297" s="35">
        <f t="shared" si="131"/>
        <v>10.1</v>
      </c>
      <c r="BA297" s="35">
        <f t="shared" si="132"/>
        <v>10.1</v>
      </c>
      <c r="BB297" s="35">
        <f t="shared" si="133"/>
        <v>10.1</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1272">
        <v>286</v>
      </c>
      <c r="B298" s="34"/>
      <c r="C298" s="34"/>
      <c r="D298" s="2952" t="s">
        <v>3068</v>
      </c>
      <c r="E298" s="16">
        <f t="shared" si="123"/>
        <v>1.1299999999999999</v>
      </c>
      <c r="F298" s="36"/>
      <c r="G298" s="37">
        <f t="shared" si="124"/>
        <v>10.1</v>
      </c>
      <c r="H298" s="38">
        <f t="shared" si="125"/>
        <v>10.1</v>
      </c>
      <c r="I298" s="2954">
        <v>10.1</v>
      </c>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286</v>
      </c>
      <c r="AW298" s="1795">
        <f t="shared" si="128"/>
        <v>0</v>
      </c>
      <c r="AX298" s="1795">
        <f t="shared" si="129"/>
        <v>0</v>
      </c>
      <c r="AY298" s="42">
        <f t="shared" si="130"/>
        <v>1.1299999999999999</v>
      </c>
      <c r="AZ298" s="35">
        <f t="shared" si="131"/>
        <v>10.1</v>
      </c>
      <c r="BA298" s="35">
        <f t="shared" si="132"/>
        <v>10.1</v>
      </c>
      <c r="BB298" s="35">
        <f t="shared" si="133"/>
        <v>10.1</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1272">
        <v>287</v>
      </c>
      <c r="B299" s="34"/>
      <c r="C299" s="34"/>
      <c r="D299" s="2952" t="s">
        <v>3068</v>
      </c>
      <c r="E299" s="16">
        <f t="shared" si="123"/>
        <v>1.1599999999999999</v>
      </c>
      <c r="F299" s="36"/>
      <c r="G299" s="37">
        <f t="shared" si="124"/>
        <v>10.33</v>
      </c>
      <c r="H299" s="38">
        <f t="shared" si="125"/>
        <v>10.33</v>
      </c>
      <c r="I299" s="2954">
        <v>10.33</v>
      </c>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287</v>
      </c>
      <c r="AW299" s="1795">
        <f t="shared" si="128"/>
        <v>0</v>
      </c>
      <c r="AX299" s="1795">
        <f t="shared" si="129"/>
        <v>0</v>
      </c>
      <c r="AY299" s="42">
        <f t="shared" si="130"/>
        <v>1.1599999999999999</v>
      </c>
      <c r="AZ299" s="35">
        <f t="shared" si="131"/>
        <v>10.33</v>
      </c>
      <c r="BA299" s="35">
        <f t="shared" si="132"/>
        <v>10.33</v>
      </c>
      <c r="BB299" s="35">
        <f t="shared" si="133"/>
        <v>10.33</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1272">
        <v>288</v>
      </c>
      <c r="B300" s="9"/>
      <c r="C300" s="9"/>
      <c r="D300" s="2952" t="s">
        <v>3068</v>
      </c>
      <c r="E300" s="16">
        <f t="shared" si="123"/>
        <v>1.1299999999999999</v>
      </c>
      <c r="F300" s="44"/>
      <c r="G300" s="37">
        <f t="shared" ref="G300:G331" si="152">H300+AC300+AT300</f>
        <v>10.1</v>
      </c>
      <c r="H300" s="38">
        <f t="shared" ref="H300:H331" si="153">SUMIF(I$12:AB$12,"总值",I300:AB300)</f>
        <v>10.1</v>
      </c>
      <c r="I300" s="2954">
        <v>10.1</v>
      </c>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288</v>
      </c>
      <c r="AW300" s="1795">
        <f t="shared" si="128"/>
        <v>0</v>
      </c>
      <c r="AX300" s="1795">
        <f t="shared" si="129"/>
        <v>0</v>
      </c>
      <c r="AY300" s="42">
        <f t="shared" ref="AY300:AY331" si="155">ROUND($AY$6*AZ300/$AZ$5,2)</f>
        <v>1.1299999999999999</v>
      </c>
      <c r="AZ300" s="35">
        <f t="shared" ref="AZ300:AZ331" si="156">BA300+BL300</f>
        <v>10.1</v>
      </c>
      <c r="BA300" s="35">
        <f t="shared" ref="BA300:BA331" si="157">SUM(BB300:BK300)</f>
        <v>10.1</v>
      </c>
      <c r="BB300" s="35">
        <f t="shared" ref="BB300:BB331" si="158">IF($D300="是",I300-J300,0)</f>
        <v>10.1</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1272">
        <v>289</v>
      </c>
      <c r="B301" s="9"/>
      <c r="C301" s="9"/>
      <c r="D301" s="2952" t="s">
        <v>3068</v>
      </c>
      <c r="E301" s="16">
        <f t="shared" si="123"/>
        <v>1.1399999999999999</v>
      </c>
      <c r="F301" s="44"/>
      <c r="G301" s="37">
        <f t="shared" si="152"/>
        <v>10.17</v>
      </c>
      <c r="H301" s="38">
        <f t="shared" si="153"/>
        <v>10.17</v>
      </c>
      <c r="I301" s="2954">
        <v>10.17</v>
      </c>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289</v>
      </c>
      <c r="AW301" s="1795">
        <f t="shared" si="128"/>
        <v>0</v>
      </c>
      <c r="AX301" s="1795">
        <f t="shared" si="129"/>
        <v>0</v>
      </c>
      <c r="AY301" s="42">
        <f t="shared" si="155"/>
        <v>1.1399999999999999</v>
      </c>
      <c r="AZ301" s="35">
        <f t="shared" si="156"/>
        <v>10.17</v>
      </c>
      <c r="BA301" s="35">
        <f t="shared" si="157"/>
        <v>10.17</v>
      </c>
      <c r="BB301" s="35">
        <f t="shared" si="158"/>
        <v>10.17</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1272">
        <v>290</v>
      </c>
      <c r="B302" s="9"/>
      <c r="C302" s="9"/>
      <c r="D302" s="2952" t="s">
        <v>3068</v>
      </c>
      <c r="E302" s="16">
        <f t="shared" si="123"/>
        <v>1.1499999999999999</v>
      </c>
      <c r="F302" s="44"/>
      <c r="G302" s="37">
        <f t="shared" si="152"/>
        <v>10.28</v>
      </c>
      <c r="H302" s="38">
        <f t="shared" si="153"/>
        <v>10.28</v>
      </c>
      <c r="I302" s="2954">
        <v>10.28</v>
      </c>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290</v>
      </c>
      <c r="AW302" s="1795">
        <f t="shared" si="128"/>
        <v>0</v>
      </c>
      <c r="AX302" s="1795">
        <f t="shared" si="129"/>
        <v>0</v>
      </c>
      <c r="AY302" s="42">
        <f t="shared" si="155"/>
        <v>1.1499999999999999</v>
      </c>
      <c r="AZ302" s="35">
        <f t="shared" si="156"/>
        <v>10.28</v>
      </c>
      <c r="BA302" s="35">
        <f t="shared" si="157"/>
        <v>10.28</v>
      </c>
      <c r="BB302" s="35">
        <f t="shared" si="158"/>
        <v>10.28</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1272">
        <v>291</v>
      </c>
      <c r="B303" s="34"/>
      <c r="C303" s="34"/>
      <c r="D303" s="2952" t="s">
        <v>3068</v>
      </c>
      <c r="E303" s="16">
        <f t="shared" ref="E303:E334" si="177">IF($C$3="是",ROUND($A$3*G303/$B$3,2),ROUND($A$3*(G303-AT303)/$B$3,2))</f>
        <v>1.1499999999999999</v>
      </c>
      <c r="F303" s="36"/>
      <c r="G303" s="37">
        <f t="shared" si="152"/>
        <v>10.28</v>
      </c>
      <c r="H303" s="38">
        <f t="shared" si="153"/>
        <v>10.28</v>
      </c>
      <c r="I303" s="2954">
        <v>10.28</v>
      </c>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291</v>
      </c>
      <c r="AW303" s="1795">
        <f t="shared" ref="AW303:AW334" si="179">B303</f>
        <v>0</v>
      </c>
      <c r="AX303" s="1795">
        <f t="shared" ref="AX303:AX334" si="180">C303</f>
        <v>0</v>
      </c>
      <c r="AY303" s="42">
        <f t="shared" si="155"/>
        <v>1.1499999999999999</v>
      </c>
      <c r="AZ303" s="35">
        <f t="shared" si="156"/>
        <v>10.28</v>
      </c>
      <c r="BA303" s="35">
        <f t="shared" si="157"/>
        <v>10.28</v>
      </c>
      <c r="BB303" s="35">
        <f t="shared" si="158"/>
        <v>10.28</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1272">
        <v>292</v>
      </c>
      <c r="B304" s="34"/>
      <c r="C304" s="34"/>
      <c r="D304" s="2952" t="s">
        <v>3068</v>
      </c>
      <c r="E304" s="16">
        <f t="shared" si="177"/>
        <v>1.1399999999999999</v>
      </c>
      <c r="F304" s="36"/>
      <c r="G304" s="37">
        <f t="shared" si="152"/>
        <v>10.15</v>
      </c>
      <c r="H304" s="38">
        <f t="shared" si="153"/>
        <v>10.15</v>
      </c>
      <c r="I304" s="2954">
        <v>10.15</v>
      </c>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292</v>
      </c>
      <c r="AW304" s="1795">
        <f t="shared" si="179"/>
        <v>0</v>
      </c>
      <c r="AX304" s="1795">
        <f t="shared" si="180"/>
        <v>0</v>
      </c>
      <c r="AY304" s="42">
        <f t="shared" si="155"/>
        <v>1.1399999999999999</v>
      </c>
      <c r="AZ304" s="35">
        <f t="shared" si="156"/>
        <v>10.15</v>
      </c>
      <c r="BA304" s="35">
        <f t="shared" si="157"/>
        <v>10.15</v>
      </c>
      <c r="BB304" s="35">
        <f t="shared" si="158"/>
        <v>10.15</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1272">
        <v>293</v>
      </c>
      <c r="B305" s="34"/>
      <c r="C305" s="34"/>
      <c r="D305" s="2952" t="s">
        <v>3068</v>
      </c>
      <c r="E305" s="16">
        <f t="shared" si="177"/>
        <v>1.31</v>
      </c>
      <c r="F305" s="36"/>
      <c r="G305" s="37">
        <f t="shared" si="152"/>
        <v>11.66</v>
      </c>
      <c r="H305" s="38">
        <f t="shared" si="153"/>
        <v>11.66</v>
      </c>
      <c r="I305" s="2954">
        <v>11.66</v>
      </c>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293</v>
      </c>
      <c r="AW305" s="1795">
        <f t="shared" si="179"/>
        <v>0</v>
      </c>
      <c r="AX305" s="1795">
        <f t="shared" si="180"/>
        <v>0</v>
      </c>
      <c r="AY305" s="42">
        <f t="shared" si="155"/>
        <v>1.31</v>
      </c>
      <c r="AZ305" s="35">
        <f t="shared" si="156"/>
        <v>11.66</v>
      </c>
      <c r="BA305" s="35">
        <f t="shared" si="157"/>
        <v>11.66</v>
      </c>
      <c r="BB305" s="35">
        <f t="shared" si="158"/>
        <v>11.66</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1272">
        <v>294</v>
      </c>
      <c r="B306" s="34"/>
      <c r="C306" s="34"/>
      <c r="D306" s="2952" t="s">
        <v>3068</v>
      </c>
      <c r="E306" s="16">
        <f t="shared" si="177"/>
        <v>1.27</v>
      </c>
      <c r="F306" s="36"/>
      <c r="G306" s="37">
        <f t="shared" si="152"/>
        <v>11.37</v>
      </c>
      <c r="H306" s="38">
        <f t="shared" si="153"/>
        <v>11.37</v>
      </c>
      <c r="I306" s="2954">
        <v>11.37</v>
      </c>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294</v>
      </c>
      <c r="AW306" s="1795">
        <f t="shared" si="179"/>
        <v>0</v>
      </c>
      <c r="AX306" s="1795">
        <f t="shared" si="180"/>
        <v>0</v>
      </c>
      <c r="AY306" s="42">
        <f t="shared" si="155"/>
        <v>1.27</v>
      </c>
      <c r="AZ306" s="35">
        <f t="shared" si="156"/>
        <v>11.37</v>
      </c>
      <c r="BA306" s="35">
        <f t="shared" si="157"/>
        <v>11.37</v>
      </c>
      <c r="BB306" s="35">
        <f t="shared" si="158"/>
        <v>11.37</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1272">
        <v>295</v>
      </c>
      <c r="B307" s="34"/>
      <c r="C307" s="34"/>
      <c r="D307" s="2952" t="s">
        <v>3068</v>
      </c>
      <c r="E307" s="16">
        <f t="shared" si="177"/>
        <v>1.27</v>
      </c>
      <c r="F307" s="36"/>
      <c r="G307" s="37">
        <f t="shared" si="152"/>
        <v>11.37</v>
      </c>
      <c r="H307" s="38">
        <f t="shared" si="153"/>
        <v>11.37</v>
      </c>
      <c r="I307" s="2954">
        <v>11.37</v>
      </c>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295</v>
      </c>
      <c r="AW307" s="1795">
        <f t="shared" si="179"/>
        <v>0</v>
      </c>
      <c r="AX307" s="1795">
        <f t="shared" si="180"/>
        <v>0</v>
      </c>
      <c r="AY307" s="42">
        <f t="shared" si="155"/>
        <v>1.27</v>
      </c>
      <c r="AZ307" s="35">
        <f t="shared" si="156"/>
        <v>11.37</v>
      </c>
      <c r="BA307" s="35">
        <f t="shared" si="157"/>
        <v>11.37</v>
      </c>
      <c r="BB307" s="35">
        <f t="shared" si="158"/>
        <v>11.37</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1272">
        <v>296</v>
      </c>
      <c r="B308" s="34"/>
      <c r="C308" s="34"/>
      <c r="D308" s="2952" t="s">
        <v>3068</v>
      </c>
      <c r="E308" s="16">
        <f t="shared" si="177"/>
        <v>1.26</v>
      </c>
      <c r="F308" s="36"/>
      <c r="G308" s="37">
        <f t="shared" si="152"/>
        <v>11.21</v>
      </c>
      <c r="H308" s="38">
        <f t="shared" si="153"/>
        <v>11.21</v>
      </c>
      <c r="I308" s="2954">
        <v>11.21</v>
      </c>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296</v>
      </c>
      <c r="AW308" s="1795">
        <f t="shared" si="179"/>
        <v>0</v>
      </c>
      <c r="AX308" s="1795">
        <f t="shared" si="180"/>
        <v>0</v>
      </c>
      <c r="AY308" s="42">
        <f t="shared" si="155"/>
        <v>1.26</v>
      </c>
      <c r="AZ308" s="35">
        <f t="shared" si="156"/>
        <v>11.21</v>
      </c>
      <c r="BA308" s="35">
        <f t="shared" si="157"/>
        <v>11.21</v>
      </c>
      <c r="BB308" s="35">
        <f t="shared" si="158"/>
        <v>11.21</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1272">
        <v>297</v>
      </c>
      <c r="B309" s="34"/>
      <c r="C309" s="34"/>
      <c r="D309" s="2952" t="s">
        <v>3068</v>
      </c>
      <c r="E309" s="16">
        <f t="shared" si="177"/>
        <v>1.26</v>
      </c>
      <c r="F309" s="36"/>
      <c r="G309" s="37">
        <f t="shared" si="152"/>
        <v>11.21</v>
      </c>
      <c r="H309" s="38">
        <f t="shared" si="153"/>
        <v>11.21</v>
      </c>
      <c r="I309" s="2954">
        <v>11.21</v>
      </c>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297</v>
      </c>
      <c r="AW309" s="1795">
        <f t="shared" si="179"/>
        <v>0</v>
      </c>
      <c r="AX309" s="1795">
        <f t="shared" si="180"/>
        <v>0</v>
      </c>
      <c r="AY309" s="42">
        <f t="shared" si="155"/>
        <v>1.26</v>
      </c>
      <c r="AZ309" s="35">
        <f t="shared" si="156"/>
        <v>11.21</v>
      </c>
      <c r="BA309" s="35">
        <f t="shared" si="157"/>
        <v>11.21</v>
      </c>
      <c r="BB309" s="35">
        <f t="shared" si="158"/>
        <v>11.21</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1272">
        <v>298</v>
      </c>
      <c r="B310" s="34"/>
      <c r="C310" s="34"/>
      <c r="D310" s="2952" t="s">
        <v>3068</v>
      </c>
      <c r="E310" s="16">
        <f t="shared" si="177"/>
        <v>1.28</v>
      </c>
      <c r="F310" s="36"/>
      <c r="G310" s="37">
        <f t="shared" si="152"/>
        <v>11.41</v>
      </c>
      <c r="H310" s="38">
        <f t="shared" si="153"/>
        <v>11.41</v>
      </c>
      <c r="I310" s="2954">
        <v>11.41</v>
      </c>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298</v>
      </c>
      <c r="AW310" s="1795">
        <f t="shared" si="179"/>
        <v>0</v>
      </c>
      <c r="AX310" s="1795">
        <f t="shared" si="180"/>
        <v>0</v>
      </c>
      <c r="AY310" s="42">
        <f t="shared" si="155"/>
        <v>1.28</v>
      </c>
      <c r="AZ310" s="35">
        <f t="shared" si="156"/>
        <v>11.41</v>
      </c>
      <c r="BA310" s="35">
        <f t="shared" si="157"/>
        <v>11.41</v>
      </c>
      <c r="BB310" s="35">
        <f t="shared" si="158"/>
        <v>11.41</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1272">
        <v>299</v>
      </c>
      <c r="B311" s="34"/>
      <c r="C311" s="34"/>
      <c r="D311" s="2952" t="s">
        <v>3068</v>
      </c>
      <c r="E311" s="16">
        <f t="shared" si="177"/>
        <v>1.25</v>
      </c>
      <c r="F311" s="36"/>
      <c r="G311" s="37">
        <f t="shared" si="152"/>
        <v>11.17</v>
      </c>
      <c r="H311" s="38">
        <f t="shared" si="153"/>
        <v>11.17</v>
      </c>
      <c r="I311" s="2954">
        <v>11.17</v>
      </c>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299</v>
      </c>
      <c r="AW311" s="1795">
        <f t="shared" si="179"/>
        <v>0</v>
      </c>
      <c r="AX311" s="1795">
        <f t="shared" si="180"/>
        <v>0</v>
      </c>
      <c r="AY311" s="42">
        <f t="shared" si="155"/>
        <v>1.25</v>
      </c>
      <c r="AZ311" s="35">
        <f t="shared" si="156"/>
        <v>11.17</v>
      </c>
      <c r="BA311" s="35">
        <f t="shared" si="157"/>
        <v>11.17</v>
      </c>
      <c r="BB311" s="35">
        <f t="shared" si="158"/>
        <v>11.17</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1272">
        <v>300</v>
      </c>
      <c r="B312" s="34"/>
      <c r="C312" s="34"/>
      <c r="D312" s="2952" t="s">
        <v>3068</v>
      </c>
      <c r="E312" s="16">
        <f t="shared" si="177"/>
        <v>1.25</v>
      </c>
      <c r="F312" s="36"/>
      <c r="G312" s="37">
        <f t="shared" si="152"/>
        <v>11.17</v>
      </c>
      <c r="H312" s="38">
        <f t="shared" si="153"/>
        <v>11.17</v>
      </c>
      <c r="I312" s="2954">
        <v>11.17</v>
      </c>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300</v>
      </c>
      <c r="AW312" s="1795">
        <f t="shared" si="179"/>
        <v>0</v>
      </c>
      <c r="AX312" s="1795">
        <f t="shared" si="180"/>
        <v>0</v>
      </c>
      <c r="AY312" s="42">
        <f t="shared" si="155"/>
        <v>1.25</v>
      </c>
      <c r="AZ312" s="35">
        <f t="shared" si="156"/>
        <v>11.17</v>
      </c>
      <c r="BA312" s="35">
        <f t="shared" si="157"/>
        <v>11.17</v>
      </c>
      <c r="BB312" s="35">
        <f t="shared" si="158"/>
        <v>11.17</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1272">
        <v>301</v>
      </c>
      <c r="B313" s="34"/>
      <c r="C313" s="34"/>
      <c r="D313" s="2952" t="s">
        <v>3068</v>
      </c>
      <c r="E313" s="16">
        <f t="shared" si="177"/>
        <v>1.28</v>
      </c>
      <c r="F313" s="36"/>
      <c r="G313" s="37">
        <f t="shared" si="152"/>
        <v>11.39</v>
      </c>
      <c r="H313" s="38">
        <f t="shared" si="153"/>
        <v>11.39</v>
      </c>
      <c r="I313" s="2954">
        <v>11.39</v>
      </c>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301</v>
      </c>
      <c r="AW313" s="1795">
        <f t="shared" si="179"/>
        <v>0</v>
      </c>
      <c r="AX313" s="1795">
        <f t="shared" si="180"/>
        <v>0</v>
      </c>
      <c r="AY313" s="42">
        <f t="shared" si="155"/>
        <v>1.28</v>
      </c>
      <c r="AZ313" s="35">
        <f t="shared" si="156"/>
        <v>11.39</v>
      </c>
      <c r="BA313" s="35">
        <f t="shared" si="157"/>
        <v>11.39</v>
      </c>
      <c r="BB313" s="35">
        <f t="shared" si="158"/>
        <v>11.39</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1272">
        <v>302</v>
      </c>
      <c r="B314" s="34"/>
      <c r="C314" s="34"/>
      <c r="D314" s="2952" t="s">
        <v>3068</v>
      </c>
      <c r="E314" s="16">
        <f t="shared" si="177"/>
        <v>1.27</v>
      </c>
      <c r="F314" s="36"/>
      <c r="G314" s="37">
        <f t="shared" si="152"/>
        <v>11.3</v>
      </c>
      <c r="H314" s="38">
        <f t="shared" si="153"/>
        <v>11.3</v>
      </c>
      <c r="I314" s="2954">
        <v>11.3</v>
      </c>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302</v>
      </c>
      <c r="AW314" s="1795">
        <f t="shared" si="179"/>
        <v>0</v>
      </c>
      <c r="AX314" s="1795">
        <f t="shared" si="180"/>
        <v>0</v>
      </c>
      <c r="AY314" s="42">
        <f t="shared" si="155"/>
        <v>1.27</v>
      </c>
      <c r="AZ314" s="35">
        <f t="shared" si="156"/>
        <v>11.3</v>
      </c>
      <c r="BA314" s="35">
        <f t="shared" si="157"/>
        <v>11.3</v>
      </c>
      <c r="BB314" s="35">
        <f t="shared" si="158"/>
        <v>11.3</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1272">
        <v>303</v>
      </c>
      <c r="B315" s="34"/>
      <c r="C315" s="34"/>
      <c r="D315" s="2952" t="s">
        <v>3068</v>
      </c>
      <c r="E315" s="16">
        <f t="shared" si="177"/>
        <v>1.3</v>
      </c>
      <c r="F315" s="36"/>
      <c r="G315" s="37">
        <f t="shared" si="152"/>
        <v>11.59</v>
      </c>
      <c r="H315" s="38">
        <f t="shared" si="153"/>
        <v>11.59</v>
      </c>
      <c r="I315" s="2954">
        <v>11.59</v>
      </c>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303</v>
      </c>
      <c r="AW315" s="1795">
        <f t="shared" si="179"/>
        <v>0</v>
      </c>
      <c r="AX315" s="1795">
        <f t="shared" si="180"/>
        <v>0</v>
      </c>
      <c r="AY315" s="42">
        <f t="shared" si="155"/>
        <v>1.3</v>
      </c>
      <c r="AZ315" s="35">
        <f t="shared" si="156"/>
        <v>11.59</v>
      </c>
      <c r="BA315" s="35">
        <f t="shared" si="157"/>
        <v>11.59</v>
      </c>
      <c r="BB315" s="35">
        <f t="shared" si="158"/>
        <v>11.59</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1272">
        <v>304</v>
      </c>
      <c r="B316" s="34"/>
      <c r="C316" s="34"/>
      <c r="D316" s="2952" t="s">
        <v>3068</v>
      </c>
      <c r="E316" s="16">
        <f t="shared" si="177"/>
        <v>1.28</v>
      </c>
      <c r="F316" s="36"/>
      <c r="G316" s="37">
        <f t="shared" si="152"/>
        <v>11.46</v>
      </c>
      <c r="H316" s="38">
        <f t="shared" si="153"/>
        <v>11.46</v>
      </c>
      <c r="I316" s="2954">
        <v>11.46</v>
      </c>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304</v>
      </c>
      <c r="AW316" s="1795">
        <f t="shared" si="179"/>
        <v>0</v>
      </c>
      <c r="AX316" s="1795">
        <f t="shared" si="180"/>
        <v>0</v>
      </c>
      <c r="AY316" s="42">
        <f t="shared" si="155"/>
        <v>1.28</v>
      </c>
      <c r="AZ316" s="35">
        <f t="shared" si="156"/>
        <v>11.46</v>
      </c>
      <c r="BA316" s="35">
        <f t="shared" si="157"/>
        <v>11.46</v>
      </c>
      <c r="BB316" s="35">
        <f t="shared" si="158"/>
        <v>11.46</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1272">
        <v>305</v>
      </c>
      <c r="B317" s="34"/>
      <c r="C317" s="34"/>
      <c r="D317" s="2952" t="s">
        <v>3068</v>
      </c>
      <c r="E317" s="16">
        <f t="shared" si="177"/>
        <v>1.18</v>
      </c>
      <c r="F317" s="36"/>
      <c r="G317" s="37">
        <f t="shared" si="152"/>
        <v>10.5</v>
      </c>
      <c r="H317" s="38">
        <f t="shared" si="153"/>
        <v>10.5</v>
      </c>
      <c r="I317" s="2954">
        <v>10.5</v>
      </c>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305</v>
      </c>
      <c r="AW317" s="1795">
        <f t="shared" si="179"/>
        <v>0</v>
      </c>
      <c r="AX317" s="1795">
        <f t="shared" si="180"/>
        <v>0</v>
      </c>
      <c r="AY317" s="42">
        <f t="shared" si="155"/>
        <v>1.18</v>
      </c>
      <c r="AZ317" s="35">
        <f t="shared" si="156"/>
        <v>10.5</v>
      </c>
      <c r="BA317" s="35">
        <f t="shared" si="157"/>
        <v>10.5</v>
      </c>
      <c r="BB317" s="35">
        <f t="shared" si="158"/>
        <v>10.5</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1272">
        <v>306</v>
      </c>
      <c r="B318" s="34"/>
      <c r="C318" s="34"/>
      <c r="D318" s="2952" t="s">
        <v>3068</v>
      </c>
      <c r="E318" s="16">
        <f t="shared" si="177"/>
        <v>1.19</v>
      </c>
      <c r="F318" s="36"/>
      <c r="G318" s="37">
        <f t="shared" si="152"/>
        <v>10.59</v>
      </c>
      <c r="H318" s="38">
        <f t="shared" si="153"/>
        <v>10.59</v>
      </c>
      <c r="I318" s="2954">
        <v>10.59</v>
      </c>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306</v>
      </c>
      <c r="AW318" s="1795">
        <f t="shared" si="179"/>
        <v>0</v>
      </c>
      <c r="AX318" s="1795">
        <f t="shared" si="180"/>
        <v>0</v>
      </c>
      <c r="AY318" s="42">
        <f t="shared" si="155"/>
        <v>1.19</v>
      </c>
      <c r="AZ318" s="35">
        <f t="shared" si="156"/>
        <v>10.59</v>
      </c>
      <c r="BA318" s="35">
        <f t="shared" si="157"/>
        <v>10.59</v>
      </c>
      <c r="BB318" s="35">
        <f t="shared" si="158"/>
        <v>10.59</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1272">
        <v>307</v>
      </c>
      <c r="B319" s="34"/>
      <c r="C319" s="34"/>
      <c r="D319" s="2952" t="s">
        <v>3068</v>
      </c>
      <c r="E319" s="16">
        <f t="shared" si="177"/>
        <v>1.19</v>
      </c>
      <c r="F319" s="36"/>
      <c r="G319" s="37">
        <f t="shared" si="152"/>
        <v>10.61</v>
      </c>
      <c r="H319" s="38">
        <f t="shared" si="153"/>
        <v>10.61</v>
      </c>
      <c r="I319" s="2954">
        <v>10.61</v>
      </c>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307</v>
      </c>
      <c r="AW319" s="1795">
        <f t="shared" si="179"/>
        <v>0</v>
      </c>
      <c r="AX319" s="1795">
        <f t="shared" si="180"/>
        <v>0</v>
      </c>
      <c r="AY319" s="42">
        <f t="shared" si="155"/>
        <v>1.19</v>
      </c>
      <c r="AZ319" s="35">
        <f t="shared" si="156"/>
        <v>10.61</v>
      </c>
      <c r="BA319" s="35">
        <f t="shared" si="157"/>
        <v>10.61</v>
      </c>
      <c r="BB319" s="35">
        <f t="shared" si="158"/>
        <v>10.61</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1272">
        <v>308</v>
      </c>
      <c r="B320" s="34"/>
      <c r="C320" s="34"/>
      <c r="D320" s="2952" t="s">
        <v>3068</v>
      </c>
      <c r="E320" s="16">
        <f t="shared" si="177"/>
        <v>1.17</v>
      </c>
      <c r="F320" s="36"/>
      <c r="G320" s="37">
        <f t="shared" si="152"/>
        <v>10.44</v>
      </c>
      <c r="H320" s="38">
        <f t="shared" si="153"/>
        <v>10.44</v>
      </c>
      <c r="I320" s="2954">
        <v>10.44</v>
      </c>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308</v>
      </c>
      <c r="AW320" s="1795">
        <f t="shared" si="179"/>
        <v>0</v>
      </c>
      <c r="AX320" s="1795">
        <f t="shared" si="180"/>
        <v>0</v>
      </c>
      <c r="AY320" s="42">
        <f t="shared" si="155"/>
        <v>1.17</v>
      </c>
      <c r="AZ320" s="35">
        <f t="shared" si="156"/>
        <v>10.44</v>
      </c>
      <c r="BA320" s="35">
        <f t="shared" si="157"/>
        <v>10.44</v>
      </c>
      <c r="BB320" s="35">
        <f t="shared" si="158"/>
        <v>10.44</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1272">
        <v>309</v>
      </c>
      <c r="B321" s="34"/>
      <c r="C321" s="34"/>
      <c r="D321" s="2952" t="s">
        <v>3068</v>
      </c>
      <c r="E321" s="16">
        <f t="shared" si="177"/>
        <v>1.17</v>
      </c>
      <c r="F321" s="36"/>
      <c r="G321" s="37">
        <f t="shared" si="152"/>
        <v>10.41</v>
      </c>
      <c r="H321" s="38">
        <f t="shared" si="153"/>
        <v>10.41</v>
      </c>
      <c r="I321" s="2954">
        <v>10.41</v>
      </c>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309</v>
      </c>
      <c r="AW321" s="1795">
        <f t="shared" si="179"/>
        <v>0</v>
      </c>
      <c r="AX321" s="1795">
        <f t="shared" si="180"/>
        <v>0</v>
      </c>
      <c r="AY321" s="42">
        <f t="shared" si="155"/>
        <v>1.17</v>
      </c>
      <c r="AZ321" s="35">
        <f t="shared" si="156"/>
        <v>10.41</v>
      </c>
      <c r="BA321" s="35">
        <f t="shared" si="157"/>
        <v>10.41</v>
      </c>
      <c r="BB321" s="35">
        <f t="shared" si="158"/>
        <v>10.41</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1272">
        <v>310</v>
      </c>
      <c r="B322" s="34"/>
      <c r="C322" s="34"/>
      <c r="D322" s="2952" t="s">
        <v>3068</v>
      </c>
      <c r="E322" s="16">
        <f t="shared" si="177"/>
        <v>1.2</v>
      </c>
      <c r="F322" s="36"/>
      <c r="G322" s="37">
        <f t="shared" si="152"/>
        <v>10.66</v>
      </c>
      <c r="H322" s="38">
        <f t="shared" si="153"/>
        <v>10.66</v>
      </c>
      <c r="I322" s="2212">
        <v>10.66</v>
      </c>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310</v>
      </c>
      <c r="AW322" s="1795">
        <f t="shared" si="179"/>
        <v>0</v>
      </c>
      <c r="AX322" s="1795">
        <f t="shared" si="180"/>
        <v>0</v>
      </c>
      <c r="AY322" s="42">
        <f t="shared" si="155"/>
        <v>1.2</v>
      </c>
      <c r="AZ322" s="35">
        <f t="shared" si="156"/>
        <v>10.66</v>
      </c>
      <c r="BA322" s="35">
        <f t="shared" si="157"/>
        <v>10.66</v>
      </c>
      <c r="BB322" s="35">
        <f t="shared" si="158"/>
        <v>10.66</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1272">
        <v>311</v>
      </c>
      <c r="B323" s="34"/>
      <c r="C323" s="34"/>
      <c r="D323" s="2952" t="s">
        <v>3068</v>
      </c>
      <c r="E323" s="16">
        <f t="shared" si="177"/>
        <v>1.1599999999999999</v>
      </c>
      <c r="F323" s="36"/>
      <c r="G323" s="37">
        <f t="shared" si="152"/>
        <v>10.39</v>
      </c>
      <c r="H323" s="38">
        <f t="shared" si="153"/>
        <v>10.39</v>
      </c>
      <c r="I323" s="2212">
        <v>10.39</v>
      </c>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311</v>
      </c>
      <c r="AW323" s="1795">
        <f t="shared" si="179"/>
        <v>0</v>
      </c>
      <c r="AX323" s="1795">
        <f t="shared" si="180"/>
        <v>0</v>
      </c>
      <c r="AY323" s="42">
        <f t="shared" si="155"/>
        <v>1.1599999999999999</v>
      </c>
      <c r="AZ323" s="35">
        <f t="shared" si="156"/>
        <v>10.39</v>
      </c>
      <c r="BA323" s="35">
        <f t="shared" si="157"/>
        <v>10.39</v>
      </c>
      <c r="BB323" s="35">
        <f t="shared" si="158"/>
        <v>10.39</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1272">
        <v>312</v>
      </c>
      <c r="B324" s="34"/>
      <c r="C324" s="34"/>
      <c r="D324" s="2952" t="s">
        <v>3068</v>
      </c>
      <c r="E324" s="16">
        <f t="shared" si="177"/>
        <v>1.17</v>
      </c>
      <c r="F324" s="36"/>
      <c r="G324" s="37">
        <f t="shared" si="152"/>
        <v>10.48</v>
      </c>
      <c r="H324" s="38">
        <f t="shared" si="153"/>
        <v>10.48</v>
      </c>
      <c r="I324" s="2212">
        <v>10.48</v>
      </c>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312</v>
      </c>
      <c r="AW324" s="1795">
        <f t="shared" si="179"/>
        <v>0</v>
      </c>
      <c r="AX324" s="1795">
        <f t="shared" si="180"/>
        <v>0</v>
      </c>
      <c r="AY324" s="42">
        <f t="shared" si="155"/>
        <v>1.17</v>
      </c>
      <c r="AZ324" s="35">
        <f t="shared" si="156"/>
        <v>10.48</v>
      </c>
      <c r="BA324" s="35">
        <f t="shared" si="157"/>
        <v>10.48</v>
      </c>
      <c r="BB324" s="35">
        <f t="shared" si="158"/>
        <v>10.48</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1272">
        <v>313</v>
      </c>
      <c r="B325" s="34"/>
      <c r="C325" s="34"/>
      <c r="D325" s="2952" t="s">
        <v>3068</v>
      </c>
      <c r="E325" s="16">
        <f t="shared" si="177"/>
        <v>1.1599999999999999</v>
      </c>
      <c r="F325" s="36"/>
      <c r="G325" s="37">
        <f t="shared" si="152"/>
        <v>10.39</v>
      </c>
      <c r="H325" s="38">
        <f t="shared" si="153"/>
        <v>10.39</v>
      </c>
      <c r="I325" s="2212">
        <v>10.39</v>
      </c>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313</v>
      </c>
      <c r="AW325" s="1795">
        <f t="shared" si="179"/>
        <v>0</v>
      </c>
      <c r="AX325" s="1795">
        <f t="shared" si="180"/>
        <v>0</v>
      </c>
      <c r="AY325" s="42">
        <f t="shared" si="155"/>
        <v>1.1599999999999999</v>
      </c>
      <c r="AZ325" s="35">
        <f t="shared" si="156"/>
        <v>10.39</v>
      </c>
      <c r="BA325" s="35">
        <f t="shared" si="157"/>
        <v>10.39</v>
      </c>
      <c r="BB325" s="35">
        <f t="shared" si="158"/>
        <v>10.39</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1272">
        <v>314</v>
      </c>
      <c r="B326" s="34"/>
      <c r="C326" s="34"/>
      <c r="D326" s="2952" t="s">
        <v>3068</v>
      </c>
      <c r="E326" s="16">
        <f t="shared" si="177"/>
        <v>1.19</v>
      </c>
      <c r="F326" s="36"/>
      <c r="G326" s="37">
        <f t="shared" si="152"/>
        <v>10.64</v>
      </c>
      <c r="H326" s="38">
        <f t="shared" si="153"/>
        <v>10.64</v>
      </c>
      <c r="I326" s="2212">
        <v>10.64</v>
      </c>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314</v>
      </c>
      <c r="AW326" s="1795">
        <f t="shared" si="179"/>
        <v>0</v>
      </c>
      <c r="AX326" s="1795">
        <f t="shared" si="180"/>
        <v>0</v>
      </c>
      <c r="AY326" s="42">
        <f t="shared" si="155"/>
        <v>1.19</v>
      </c>
      <c r="AZ326" s="35">
        <f t="shared" si="156"/>
        <v>10.64</v>
      </c>
      <c r="BA326" s="35">
        <f t="shared" si="157"/>
        <v>10.64</v>
      </c>
      <c r="BB326" s="35">
        <f t="shared" si="158"/>
        <v>10.64</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1272">
        <v>315</v>
      </c>
      <c r="B327" s="34"/>
      <c r="C327" s="34"/>
      <c r="D327" s="2952" t="s">
        <v>3068</v>
      </c>
      <c r="E327" s="16">
        <f t="shared" si="177"/>
        <v>1.17</v>
      </c>
      <c r="F327" s="36"/>
      <c r="G327" s="37">
        <f t="shared" si="152"/>
        <v>10.44</v>
      </c>
      <c r="H327" s="38">
        <f t="shared" si="153"/>
        <v>10.44</v>
      </c>
      <c r="I327" s="2212">
        <v>10.44</v>
      </c>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315</v>
      </c>
      <c r="AW327" s="1795">
        <f t="shared" si="179"/>
        <v>0</v>
      </c>
      <c r="AX327" s="1795">
        <f t="shared" si="180"/>
        <v>0</v>
      </c>
      <c r="AY327" s="42">
        <f t="shared" si="155"/>
        <v>1.17</v>
      </c>
      <c r="AZ327" s="35">
        <f t="shared" si="156"/>
        <v>10.44</v>
      </c>
      <c r="BA327" s="35">
        <f t="shared" si="157"/>
        <v>10.44</v>
      </c>
      <c r="BB327" s="35">
        <f t="shared" si="158"/>
        <v>10.44</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1272">
        <v>316</v>
      </c>
      <c r="B328" s="34"/>
      <c r="C328" s="34"/>
      <c r="D328" s="2952" t="s">
        <v>3068</v>
      </c>
      <c r="E328" s="16">
        <f t="shared" si="177"/>
        <v>1.17</v>
      </c>
      <c r="F328" s="36"/>
      <c r="G328" s="37">
        <f t="shared" si="152"/>
        <v>10.46</v>
      </c>
      <c r="H328" s="38">
        <f t="shared" si="153"/>
        <v>10.46</v>
      </c>
      <c r="I328" s="2212">
        <v>10.46</v>
      </c>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316</v>
      </c>
      <c r="AW328" s="1795">
        <f t="shared" si="179"/>
        <v>0</v>
      </c>
      <c r="AX328" s="1795">
        <f t="shared" si="180"/>
        <v>0</v>
      </c>
      <c r="AY328" s="42">
        <f t="shared" si="155"/>
        <v>1.17</v>
      </c>
      <c r="AZ328" s="35">
        <f t="shared" si="156"/>
        <v>10.46</v>
      </c>
      <c r="BA328" s="35">
        <f t="shared" si="157"/>
        <v>10.46</v>
      </c>
      <c r="BB328" s="35">
        <f t="shared" si="158"/>
        <v>10.46</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1272">
        <v>317</v>
      </c>
      <c r="B329" s="34"/>
      <c r="C329" s="34"/>
      <c r="D329" s="2952" t="s">
        <v>3068</v>
      </c>
      <c r="E329" s="16">
        <f t="shared" si="177"/>
        <v>1.19</v>
      </c>
      <c r="F329" s="36"/>
      <c r="G329" s="37">
        <f t="shared" si="152"/>
        <v>10.64</v>
      </c>
      <c r="H329" s="38">
        <f t="shared" si="153"/>
        <v>10.64</v>
      </c>
      <c r="I329" s="2212">
        <v>10.64</v>
      </c>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317</v>
      </c>
      <c r="AW329" s="1795">
        <f t="shared" si="179"/>
        <v>0</v>
      </c>
      <c r="AX329" s="1795">
        <f t="shared" si="180"/>
        <v>0</v>
      </c>
      <c r="AY329" s="42">
        <f t="shared" si="155"/>
        <v>1.19</v>
      </c>
      <c r="AZ329" s="35">
        <f t="shared" si="156"/>
        <v>10.64</v>
      </c>
      <c r="BA329" s="35">
        <f t="shared" si="157"/>
        <v>10.64</v>
      </c>
      <c r="BB329" s="35">
        <f t="shared" si="158"/>
        <v>10.64</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1272">
        <v>318</v>
      </c>
      <c r="B330" s="34"/>
      <c r="C330" s="34"/>
      <c r="D330" s="2952" t="s">
        <v>3068</v>
      </c>
      <c r="E330" s="16">
        <f t="shared" si="177"/>
        <v>1.17</v>
      </c>
      <c r="F330" s="36"/>
      <c r="G330" s="37">
        <f t="shared" si="152"/>
        <v>10.46</v>
      </c>
      <c r="H330" s="38">
        <f t="shared" si="153"/>
        <v>10.46</v>
      </c>
      <c r="I330" s="2212">
        <v>10.46</v>
      </c>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318</v>
      </c>
      <c r="AW330" s="1795">
        <f t="shared" si="179"/>
        <v>0</v>
      </c>
      <c r="AX330" s="1795">
        <f t="shared" si="180"/>
        <v>0</v>
      </c>
      <c r="AY330" s="42">
        <f t="shared" si="155"/>
        <v>1.17</v>
      </c>
      <c r="AZ330" s="35">
        <f t="shared" si="156"/>
        <v>10.46</v>
      </c>
      <c r="BA330" s="35">
        <f t="shared" si="157"/>
        <v>10.46</v>
      </c>
      <c r="BB330" s="35">
        <f t="shared" si="158"/>
        <v>10.46</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1272">
        <v>319</v>
      </c>
      <c r="B331" s="34"/>
      <c r="C331" s="34"/>
      <c r="D331" s="2952" t="s">
        <v>3068</v>
      </c>
      <c r="E331" s="16">
        <f t="shared" si="177"/>
        <v>1.23</v>
      </c>
      <c r="F331" s="36"/>
      <c r="G331" s="37">
        <f t="shared" si="152"/>
        <v>10.93</v>
      </c>
      <c r="H331" s="38">
        <f t="shared" si="153"/>
        <v>10.93</v>
      </c>
      <c r="I331" s="2212">
        <v>10.93</v>
      </c>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319</v>
      </c>
      <c r="AW331" s="1795">
        <f t="shared" si="179"/>
        <v>0</v>
      </c>
      <c r="AX331" s="1795">
        <f t="shared" si="180"/>
        <v>0</v>
      </c>
      <c r="AY331" s="42">
        <f t="shared" si="155"/>
        <v>1.23</v>
      </c>
      <c r="AZ331" s="35">
        <f t="shared" si="156"/>
        <v>10.93</v>
      </c>
      <c r="BA331" s="35">
        <f t="shared" si="157"/>
        <v>10.93</v>
      </c>
      <c r="BB331" s="35">
        <f t="shared" si="158"/>
        <v>10.93</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1272">
        <v>320</v>
      </c>
      <c r="B332" s="34"/>
      <c r="C332" s="34"/>
      <c r="D332" s="2952" t="s">
        <v>3068</v>
      </c>
      <c r="E332" s="16">
        <f t="shared" si="177"/>
        <v>1.24</v>
      </c>
      <c r="F332" s="36"/>
      <c r="G332" s="37">
        <f t="shared" ref="G332:G363" si="181">H332+AC332+AT332</f>
        <v>11.08</v>
      </c>
      <c r="H332" s="38">
        <f t="shared" ref="H332:H363" si="182">SUMIF(I$12:AB$12,"总值",I332:AB332)</f>
        <v>11.08</v>
      </c>
      <c r="I332" s="2212">
        <v>11.08</v>
      </c>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320</v>
      </c>
      <c r="AW332" s="1795">
        <f t="shared" si="179"/>
        <v>0</v>
      </c>
      <c r="AX332" s="1795">
        <f t="shared" si="180"/>
        <v>0</v>
      </c>
      <c r="AY332" s="42">
        <f t="shared" ref="AY332:AY363" si="184">ROUND($AY$6*AZ332/$AZ$5,2)</f>
        <v>1.24</v>
      </c>
      <c r="AZ332" s="35">
        <f t="shared" ref="AZ332:AZ363" si="185">BA332+BL332</f>
        <v>11.08</v>
      </c>
      <c r="BA332" s="35">
        <f t="shared" ref="BA332:BA363" si="186">SUM(BB332:BK332)</f>
        <v>11.08</v>
      </c>
      <c r="BB332" s="35">
        <f t="shared" ref="BB332:BB363" si="187">IF($D332="是",I332-J332,0)</f>
        <v>11.08</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1272">
        <v>321</v>
      </c>
      <c r="B333" s="34"/>
      <c r="C333" s="34"/>
      <c r="D333" s="2952" t="s">
        <v>3068</v>
      </c>
      <c r="E333" s="16">
        <f t="shared" si="177"/>
        <v>1.24</v>
      </c>
      <c r="F333" s="36"/>
      <c r="G333" s="37">
        <f t="shared" si="181"/>
        <v>11.1</v>
      </c>
      <c r="H333" s="38">
        <f t="shared" si="182"/>
        <v>11.1</v>
      </c>
      <c r="I333" s="2212">
        <v>11.1</v>
      </c>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321</v>
      </c>
      <c r="AW333" s="1795">
        <f t="shared" si="179"/>
        <v>0</v>
      </c>
      <c r="AX333" s="1795">
        <f t="shared" si="180"/>
        <v>0</v>
      </c>
      <c r="AY333" s="42">
        <f t="shared" si="184"/>
        <v>1.24</v>
      </c>
      <c r="AZ333" s="35">
        <f t="shared" si="185"/>
        <v>11.1</v>
      </c>
      <c r="BA333" s="35">
        <f t="shared" si="186"/>
        <v>11.1</v>
      </c>
      <c r="BB333" s="35">
        <f t="shared" si="187"/>
        <v>11.1</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1272">
        <v>322</v>
      </c>
      <c r="B334" s="34"/>
      <c r="C334" s="34"/>
      <c r="D334" s="2952" t="s">
        <v>3068</v>
      </c>
      <c r="E334" s="16">
        <f t="shared" si="177"/>
        <v>1.22</v>
      </c>
      <c r="F334" s="36"/>
      <c r="G334" s="37">
        <f t="shared" si="181"/>
        <v>10.86</v>
      </c>
      <c r="H334" s="38">
        <f t="shared" si="182"/>
        <v>10.86</v>
      </c>
      <c r="I334" s="2212">
        <v>10.86</v>
      </c>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322</v>
      </c>
      <c r="AW334" s="1795">
        <f t="shared" si="179"/>
        <v>0</v>
      </c>
      <c r="AX334" s="1795">
        <f t="shared" si="180"/>
        <v>0</v>
      </c>
      <c r="AY334" s="42">
        <f t="shared" si="184"/>
        <v>1.22</v>
      </c>
      <c r="AZ334" s="35">
        <f t="shared" si="185"/>
        <v>10.86</v>
      </c>
      <c r="BA334" s="35">
        <f t="shared" si="186"/>
        <v>10.86</v>
      </c>
      <c r="BB334" s="35">
        <f t="shared" si="187"/>
        <v>10.86</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1272">
        <v>323</v>
      </c>
      <c r="B335" s="34"/>
      <c r="C335" s="34"/>
      <c r="D335" s="2952" t="s">
        <v>3068</v>
      </c>
      <c r="E335" s="16">
        <f t="shared" ref="E335:E366" si="206">IF($C$3="是",ROUND($A$3*G335/$B$3,2),ROUND($A$3*(G335-AT335)/$B$3,2))</f>
        <v>1</v>
      </c>
      <c r="F335" s="36"/>
      <c r="G335" s="37">
        <f t="shared" si="181"/>
        <v>8.9</v>
      </c>
      <c r="H335" s="38">
        <f t="shared" si="182"/>
        <v>8.9</v>
      </c>
      <c r="I335" s="2212">
        <v>8.9</v>
      </c>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323</v>
      </c>
      <c r="AW335" s="1795">
        <f t="shared" ref="AW335:AW366" si="208">B335</f>
        <v>0</v>
      </c>
      <c r="AX335" s="1795">
        <f t="shared" ref="AX335:AX366" si="209">C335</f>
        <v>0</v>
      </c>
      <c r="AY335" s="42">
        <f t="shared" si="184"/>
        <v>1</v>
      </c>
      <c r="AZ335" s="35">
        <f t="shared" si="185"/>
        <v>8.9</v>
      </c>
      <c r="BA335" s="35">
        <f t="shared" si="186"/>
        <v>8.9</v>
      </c>
      <c r="BB335" s="35">
        <f t="shared" si="187"/>
        <v>8.9</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1272">
        <v>324</v>
      </c>
      <c r="B336" s="34"/>
      <c r="C336" s="34"/>
      <c r="D336" s="2952" t="s">
        <v>3068</v>
      </c>
      <c r="E336" s="16">
        <f t="shared" si="206"/>
        <v>1.22</v>
      </c>
      <c r="F336" s="36"/>
      <c r="G336" s="37">
        <f t="shared" si="181"/>
        <v>10.86</v>
      </c>
      <c r="H336" s="38">
        <f t="shared" si="182"/>
        <v>10.86</v>
      </c>
      <c r="I336" s="2212">
        <v>10.86</v>
      </c>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324</v>
      </c>
      <c r="AW336" s="1795">
        <f t="shared" si="208"/>
        <v>0</v>
      </c>
      <c r="AX336" s="1795">
        <f t="shared" si="209"/>
        <v>0</v>
      </c>
      <c r="AY336" s="42">
        <f t="shared" si="184"/>
        <v>1.22</v>
      </c>
      <c r="AZ336" s="35">
        <f t="shared" si="185"/>
        <v>10.86</v>
      </c>
      <c r="BA336" s="35">
        <f t="shared" si="186"/>
        <v>10.86</v>
      </c>
      <c r="BB336" s="35">
        <f t="shared" si="187"/>
        <v>10.86</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1272">
        <v>325</v>
      </c>
      <c r="B337" s="34"/>
      <c r="C337" s="34"/>
      <c r="D337" s="2952" t="s">
        <v>3068</v>
      </c>
      <c r="E337" s="16">
        <f t="shared" si="206"/>
        <v>1.23</v>
      </c>
      <c r="F337" s="36"/>
      <c r="G337" s="37">
        <f t="shared" si="181"/>
        <v>10.93</v>
      </c>
      <c r="H337" s="38">
        <f t="shared" si="182"/>
        <v>10.93</v>
      </c>
      <c r="I337" s="2212">
        <v>10.93</v>
      </c>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325</v>
      </c>
      <c r="AW337" s="1795">
        <f t="shared" si="208"/>
        <v>0</v>
      </c>
      <c r="AX337" s="1795">
        <f t="shared" si="209"/>
        <v>0</v>
      </c>
      <c r="AY337" s="42">
        <f t="shared" si="184"/>
        <v>1.23</v>
      </c>
      <c r="AZ337" s="35">
        <f t="shared" si="185"/>
        <v>10.93</v>
      </c>
      <c r="BA337" s="35">
        <f t="shared" si="186"/>
        <v>10.93</v>
      </c>
      <c r="BB337" s="35">
        <f t="shared" si="187"/>
        <v>10.93</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1272">
        <v>326</v>
      </c>
      <c r="B338" s="34"/>
      <c r="C338" s="34"/>
      <c r="D338" s="2952" t="s">
        <v>3068</v>
      </c>
      <c r="E338" s="16">
        <f t="shared" si="206"/>
        <v>1.22</v>
      </c>
      <c r="F338" s="36"/>
      <c r="G338" s="37">
        <f t="shared" si="181"/>
        <v>10.88</v>
      </c>
      <c r="H338" s="38">
        <f t="shared" si="182"/>
        <v>10.88</v>
      </c>
      <c r="I338" s="2212">
        <v>10.88</v>
      </c>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326</v>
      </c>
      <c r="AW338" s="1795">
        <f t="shared" si="208"/>
        <v>0</v>
      </c>
      <c r="AX338" s="1795">
        <f t="shared" si="209"/>
        <v>0</v>
      </c>
      <c r="AY338" s="42">
        <f t="shared" si="184"/>
        <v>1.22</v>
      </c>
      <c r="AZ338" s="35">
        <f t="shared" si="185"/>
        <v>10.88</v>
      </c>
      <c r="BA338" s="35">
        <f t="shared" si="186"/>
        <v>10.88</v>
      </c>
      <c r="BB338" s="35">
        <f t="shared" si="187"/>
        <v>10.88</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1272">
        <v>327</v>
      </c>
      <c r="B339" s="34"/>
      <c r="C339" s="34"/>
      <c r="D339" s="2952" t="s">
        <v>3068</v>
      </c>
      <c r="E339" s="16">
        <f t="shared" si="206"/>
        <v>1.21</v>
      </c>
      <c r="F339" s="36"/>
      <c r="G339" s="37">
        <f t="shared" si="181"/>
        <v>10.75</v>
      </c>
      <c r="H339" s="38">
        <f t="shared" si="182"/>
        <v>10.75</v>
      </c>
      <c r="I339" s="2212">
        <v>10.75</v>
      </c>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327</v>
      </c>
      <c r="AW339" s="1795">
        <f t="shared" si="208"/>
        <v>0</v>
      </c>
      <c r="AX339" s="1795">
        <f t="shared" si="209"/>
        <v>0</v>
      </c>
      <c r="AY339" s="42">
        <f t="shared" si="184"/>
        <v>1.21</v>
      </c>
      <c r="AZ339" s="35">
        <f t="shared" si="185"/>
        <v>10.75</v>
      </c>
      <c r="BA339" s="35">
        <f t="shared" si="186"/>
        <v>10.75</v>
      </c>
      <c r="BB339" s="35">
        <f t="shared" si="187"/>
        <v>10.75</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1272">
        <v>328</v>
      </c>
      <c r="B340" s="34"/>
      <c r="C340" s="34"/>
      <c r="D340" s="2952" t="s">
        <v>3068</v>
      </c>
      <c r="E340" s="16">
        <f t="shared" si="206"/>
        <v>1.22</v>
      </c>
      <c r="F340" s="36"/>
      <c r="G340" s="37">
        <f t="shared" si="181"/>
        <v>10.88</v>
      </c>
      <c r="H340" s="38">
        <f t="shared" si="182"/>
        <v>10.88</v>
      </c>
      <c r="I340" s="2212">
        <v>10.88</v>
      </c>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328</v>
      </c>
      <c r="AW340" s="1795">
        <f t="shared" si="208"/>
        <v>0</v>
      </c>
      <c r="AX340" s="1795">
        <f t="shared" si="209"/>
        <v>0</v>
      </c>
      <c r="AY340" s="42">
        <f t="shared" si="184"/>
        <v>1.22</v>
      </c>
      <c r="AZ340" s="35">
        <f t="shared" si="185"/>
        <v>10.88</v>
      </c>
      <c r="BA340" s="35">
        <f t="shared" si="186"/>
        <v>10.88</v>
      </c>
      <c r="BB340" s="35">
        <f t="shared" si="187"/>
        <v>10.88</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1272">
        <v>329</v>
      </c>
      <c r="B341" s="34"/>
      <c r="C341" s="34"/>
      <c r="D341" s="2952" t="s">
        <v>3068</v>
      </c>
      <c r="E341" s="16">
        <f t="shared" si="206"/>
        <v>1.01</v>
      </c>
      <c r="F341" s="36"/>
      <c r="G341" s="37">
        <f t="shared" si="181"/>
        <v>8.99</v>
      </c>
      <c r="H341" s="38">
        <f t="shared" si="182"/>
        <v>8.99</v>
      </c>
      <c r="I341" s="2212">
        <v>8.99</v>
      </c>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329</v>
      </c>
      <c r="AW341" s="1795">
        <f t="shared" si="208"/>
        <v>0</v>
      </c>
      <c r="AX341" s="1795">
        <f t="shared" si="209"/>
        <v>0</v>
      </c>
      <c r="AY341" s="42">
        <f t="shared" si="184"/>
        <v>1.01</v>
      </c>
      <c r="AZ341" s="35">
        <f t="shared" si="185"/>
        <v>8.99</v>
      </c>
      <c r="BA341" s="35">
        <f t="shared" si="186"/>
        <v>8.99</v>
      </c>
      <c r="BB341" s="35">
        <f t="shared" si="187"/>
        <v>8.99</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1272">
        <v>330</v>
      </c>
      <c r="B342" s="34"/>
      <c r="C342" s="34"/>
      <c r="D342" s="2952" t="s">
        <v>3068</v>
      </c>
      <c r="E342" s="16">
        <f t="shared" si="206"/>
        <v>1.18</v>
      </c>
      <c r="F342" s="36"/>
      <c r="G342" s="37">
        <f t="shared" si="181"/>
        <v>10.55</v>
      </c>
      <c r="H342" s="38">
        <f t="shared" si="182"/>
        <v>10.55</v>
      </c>
      <c r="I342" s="2212">
        <v>10.55</v>
      </c>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330</v>
      </c>
      <c r="AW342" s="1795">
        <f t="shared" si="208"/>
        <v>0</v>
      </c>
      <c r="AX342" s="1795">
        <f t="shared" si="209"/>
        <v>0</v>
      </c>
      <c r="AY342" s="42">
        <f t="shared" si="184"/>
        <v>1.18</v>
      </c>
      <c r="AZ342" s="35">
        <f t="shared" si="185"/>
        <v>10.55</v>
      </c>
      <c r="BA342" s="35">
        <f t="shared" si="186"/>
        <v>10.55</v>
      </c>
      <c r="BB342" s="35">
        <f t="shared" si="187"/>
        <v>10.55</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1272">
        <v>331</v>
      </c>
      <c r="B343" s="34"/>
      <c r="C343" s="34"/>
      <c r="D343" s="2952" t="s">
        <v>3068</v>
      </c>
      <c r="E343" s="16">
        <f t="shared" si="206"/>
        <v>1.21</v>
      </c>
      <c r="F343" s="36"/>
      <c r="G343" s="37">
        <f t="shared" si="181"/>
        <v>10.75</v>
      </c>
      <c r="H343" s="38">
        <f t="shared" si="182"/>
        <v>10.75</v>
      </c>
      <c r="I343" s="2212">
        <v>10.75</v>
      </c>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331</v>
      </c>
      <c r="AW343" s="1795">
        <f t="shared" si="208"/>
        <v>0</v>
      </c>
      <c r="AX343" s="1795">
        <f t="shared" si="209"/>
        <v>0</v>
      </c>
      <c r="AY343" s="42">
        <f t="shared" si="184"/>
        <v>1.21</v>
      </c>
      <c r="AZ343" s="35">
        <f t="shared" si="185"/>
        <v>10.75</v>
      </c>
      <c r="BA343" s="35">
        <f t="shared" si="186"/>
        <v>10.75</v>
      </c>
      <c r="BB343" s="35">
        <f t="shared" si="187"/>
        <v>10.75</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1272">
        <v>332</v>
      </c>
      <c r="B344" s="34"/>
      <c r="C344" s="34"/>
      <c r="D344" s="2952" t="s">
        <v>3068</v>
      </c>
      <c r="E344" s="16">
        <f t="shared" si="206"/>
        <v>1.2</v>
      </c>
      <c r="F344" s="36"/>
      <c r="G344" s="37">
        <f t="shared" si="181"/>
        <v>10.73</v>
      </c>
      <c r="H344" s="38">
        <f t="shared" si="182"/>
        <v>10.73</v>
      </c>
      <c r="I344" s="2212">
        <v>10.73</v>
      </c>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332</v>
      </c>
      <c r="AW344" s="1795">
        <f t="shared" si="208"/>
        <v>0</v>
      </c>
      <c r="AX344" s="1795">
        <f t="shared" si="209"/>
        <v>0</v>
      </c>
      <c r="AY344" s="42">
        <f t="shared" si="184"/>
        <v>1.2</v>
      </c>
      <c r="AZ344" s="35">
        <f t="shared" si="185"/>
        <v>10.73</v>
      </c>
      <c r="BA344" s="35">
        <f t="shared" si="186"/>
        <v>10.73</v>
      </c>
      <c r="BB344" s="35">
        <f t="shared" si="187"/>
        <v>10.73</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1272">
        <v>333</v>
      </c>
      <c r="B345" s="34"/>
      <c r="C345" s="34"/>
      <c r="D345" s="2952" t="s">
        <v>3068</v>
      </c>
      <c r="E345" s="16">
        <f t="shared" si="206"/>
        <v>1.2</v>
      </c>
      <c r="F345" s="36"/>
      <c r="G345" s="37">
        <f t="shared" si="181"/>
        <v>10.7</v>
      </c>
      <c r="H345" s="38">
        <f t="shared" si="182"/>
        <v>10.7</v>
      </c>
      <c r="I345" s="2212">
        <v>10.7</v>
      </c>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333</v>
      </c>
      <c r="AW345" s="1795">
        <f t="shared" si="208"/>
        <v>0</v>
      </c>
      <c r="AX345" s="1795">
        <f t="shared" si="209"/>
        <v>0</v>
      </c>
      <c r="AY345" s="42">
        <f t="shared" si="184"/>
        <v>1.2</v>
      </c>
      <c r="AZ345" s="35">
        <f t="shared" si="185"/>
        <v>10.7</v>
      </c>
      <c r="BA345" s="35">
        <f t="shared" si="186"/>
        <v>10.7</v>
      </c>
      <c r="BB345" s="35">
        <f t="shared" si="187"/>
        <v>10.7</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952"/>
      <c r="E346" s="16">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952"/>
      <c r="E347" s="16">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952"/>
      <c r="E348" s="16">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952"/>
      <c r="E349" s="16">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952"/>
      <c r="E350" s="16">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952"/>
      <c r="E351" s="16">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952"/>
      <c r="E352" s="16">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952"/>
      <c r="E353" s="16">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952"/>
      <c r="E354" s="16">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952"/>
      <c r="E355" s="16">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952"/>
      <c r="E356" s="16">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952"/>
      <c r="E357" s="16">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952"/>
      <c r="E358" s="16">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952"/>
      <c r="E359" s="16">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952"/>
      <c r="E360" s="16">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952"/>
      <c r="E361" s="16">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952"/>
      <c r="E362" s="16">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952"/>
      <c r="E363" s="16">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952"/>
      <c r="E364" s="16">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952"/>
      <c r="E365" s="16">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952"/>
      <c r="E366" s="16">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952"/>
      <c r="E367" s="16">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952"/>
      <c r="E368" s="16">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952"/>
      <c r="E369" s="16">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952"/>
      <c r="E370" s="16">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952"/>
      <c r="E371" s="16">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952"/>
      <c r="E372" s="16">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952"/>
      <c r="E373" s="16">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952"/>
      <c r="E374" s="16">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952"/>
      <c r="E375" s="16">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952"/>
      <c r="E376" s="16">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952"/>
      <c r="E377" s="16">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952"/>
      <c r="E378" s="16">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952"/>
      <c r="E379" s="16">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952"/>
      <c r="E380" s="16">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952"/>
      <c r="E381" s="16">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952"/>
      <c r="E382" s="16">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952"/>
      <c r="E383" s="16">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952"/>
      <c r="E384" s="16">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952"/>
      <c r="E385" s="16">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952"/>
      <c r="E386" s="16">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952"/>
      <c r="E387" s="16">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952"/>
      <c r="E388" s="16">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952"/>
      <c r="E389" s="16">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952"/>
      <c r="E390" s="16">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952"/>
      <c r="E391" s="16">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952"/>
      <c r="E392" s="16">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952"/>
      <c r="E393" s="16">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952"/>
      <c r="E394" s="16">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952"/>
      <c r="E395" s="16">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952"/>
      <c r="E396" s="16">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952"/>
      <c r="E397" s="16">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952"/>
      <c r="E398" s="16">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952"/>
      <c r="E399" s="16">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952"/>
      <c r="E400" s="16">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952"/>
      <c r="E401" s="16">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952"/>
      <c r="E402" s="16">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952"/>
      <c r="E403" s="16">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952"/>
      <c r="E404" s="16">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952"/>
      <c r="E405" s="16">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952"/>
      <c r="E406" s="16">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952"/>
      <c r="E407" s="16">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952"/>
      <c r="E408" s="16">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952"/>
      <c r="E409" s="16">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952"/>
      <c r="E410" s="16">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952"/>
      <c r="E411" s="16">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952"/>
      <c r="E412" s="16">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952"/>
      <c r="E413" s="16">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952"/>
      <c r="E414" s="16">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952"/>
      <c r="E415" s="16">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952"/>
      <c r="E416" s="16">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952"/>
      <c r="E417" s="16">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952"/>
      <c r="E418" s="16">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952"/>
      <c r="E419" s="16">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952"/>
      <c r="E420" s="16">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952"/>
      <c r="E421" s="16">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952"/>
      <c r="E422" s="16">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952"/>
      <c r="E423" s="16">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952"/>
      <c r="E424" s="16">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952"/>
      <c r="E425" s="16">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952"/>
      <c r="E426" s="16">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952"/>
      <c r="E427" s="16">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952"/>
      <c r="E428" s="16">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952"/>
      <c r="E429" s="16">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952"/>
      <c r="E430" s="16">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952"/>
      <c r="E431" s="16">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952"/>
      <c r="E432" s="16">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952"/>
      <c r="E433" s="16">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952"/>
      <c r="E434" s="16">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952"/>
      <c r="E435" s="16">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952"/>
      <c r="E436" s="16">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952"/>
      <c r="E437" s="16">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952"/>
      <c r="E438" s="16">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952"/>
      <c r="E439" s="16">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952"/>
      <c r="E440" s="16">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952"/>
      <c r="E441" s="16">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952"/>
      <c r="E442" s="16">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952"/>
      <c r="E443" s="16">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952"/>
      <c r="E444" s="16">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952"/>
      <c r="E445" s="16">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952"/>
      <c r="E446" s="16">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952"/>
      <c r="E447" s="16">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952"/>
      <c r="E448" s="16">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952"/>
      <c r="E449" s="16">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952"/>
      <c r="E450" s="16">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952"/>
      <c r="E451" s="16">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952"/>
      <c r="E452" s="16">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952"/>
      <c r="E453" s="16">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952"/>
      <c r="E454" s="16">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952"/>
      <c r="E455" s="16">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952"/>
      <c r="E456" s="16">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952"/>
      <c r="E457" s="16">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952"/>
      <c r="E458" s="16">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952"/>
      <c r="E459" s="16">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952"/>
      <c r="E460" s="16">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952"/>
      <c r="E461" s="16">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952"/>
      <c r="E462" s="16">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952"/>
      <c r="E463" s="16">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952"/>
      <c r="E464" s="16">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952"/>
      <c r="E465" s="16">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952"/>
      <c r="E466" s="16">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952"/>
      <c r="E467" s="16">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952"/>
      <c r="E468" s="16">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952"/>
      <c r="E469" s="16">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952"/>
      <c r="E470" s="16">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952"/>
      <c r="E471" s="16">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952"/>
      <c r="E472" s="16">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952"/>
      <c r="E473" s="16">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952"/>
      <c r="E474" s="16">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952"/>
      <c r="E475" s="16">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952"/>
      <c r="E476" s="16">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952"/>
      <c r="E477" s="16">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952"/>
      <c r="E478" s="16">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952"/>
      <c r="E479" s="16">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952"/>
      <c r="E480" s="16">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952"/>
      <c r="E481" s="16">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952"/>
      <c r="E482" s="16">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952"/>
      <c r="E483" s="16">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952"/>
      <c r="E484" s="16">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952"/>
      <c r="E485" s="16">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952"/>
      <c r="E486" s="16">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952"/>
      <c r="E487" s="16">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952"/>
      <c r="E488" s="16">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952"/>
      <c r="E489" s="16">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952"/>
      <c r="E490" s="16">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952"/>
      <c r="E491" s="16">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952"/>
      <c r="E492" s="16">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952"/>
      <c r="E493" s="16">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952"/>
      <c r="E494" s="16">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952"/>
      <c r="E495" s="16">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952"/>
      <c r="E496" s="16">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952"/>
      <c r="E497" s="16">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952"/>
      <c r="E498" s="16">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952"/>
      <c r="E499" s="16">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952"/>
      <c r="E500" s="16">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952"/>
      <c r="E501" s="16">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952"/>
      <c r="E502" s="16">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952"/>
      <c r="E503" s="16">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952"/>
      <c r="E504" s="16">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952"/>
      <c r="E505" s="16">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952"/>
      <c r="E506" s="16">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952"/>
      <c r="E507" s="16">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952"/>
      <c r="E508" s="16">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952"/>
      <c r="E509" s="16">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952"/>
      <c r="E510" s="16">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952"/>
      <c r="E511" s="16">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952"/>
      <c r="E512" s="16">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952"/>
      <c r="E513" s="16">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952"/>
      <c r="E514" s="16">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952"/>
      <c r="E515" s="16">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952"/>
      <c r="E516" s="16">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952"/>
      <c r="E517" s="16">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952"/>
      <c r="E518" s="16">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952"/>
      <c r="E519" s="16">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952"/>
      <c r="E520" s="16">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952"/>
      <c r="E521" s="16">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952"/>
      <c r="E522" s="16">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952"/>
      <c r="E523" s="16">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952"/>
      <c r="E524" s="16">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952"/>
      <c r="E525" s="16">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952"/>
      <c r="E526" s="16">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952"/>
      <c r="E527" s="16">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952"/>
      <c r="E528" s="16">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952"/>
      <c r="E529" s="16">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952"/>
      <c r="E530" s="16">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952"/>
      <c r="E531" s="16">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952"/>
      <c r="E532" s="16">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952"/>
      <c r="E533" s="16">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952"/>
      <c r="E534" s="16">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952"/>
      <c r="E535" s="16">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952"/>
      <c r="E536" s="16">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952"/>
      <c r="E537" s="16">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952"/>
      <c r="E538" s="16">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952"/>
      <c r="E539" s="16">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952"/>
      <c r="E540" s="16">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952"/>
      <c r="E541" s="16">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952"/>
      <c r="E542" s="16">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952"/>
      <c r="E543" s="16">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952"/>
      <c r="E544" s="16">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952"/>
      <c r="E545" s="16">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952"/>
      <c r="E546" s="16">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952"/>
      <c r="E547" s="16">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952"/>
      <c r="E548" s="16">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952"/>
      <c r="E549" s="16">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952"/>
      <c r="E550" s="16">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952"/>
      <c r="E551" s="16">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952"/>
      <c r="E552" s="16">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952"/>
      <c r="E553" s="16">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952"/>
      <c r="E554" s="16">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952"/>
      <c r="E555" s="16">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952"/>
      <c r="E556" s="16">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952"/>
      <c r="E557" s="16">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952"/>
      <c r="E558" s="16">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952"/>
      <c r="E559" s="16">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952"/>
      <c r="E560" s="16">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952"/>
      <c r="E561" s="16">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952"/>
      <c r="E562" s="16">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952"/>
      <c r="E563" s="16">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952"/>
      <c r="E564" s="16">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952"/>
      <c r="E565" s="16">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952"/>
      <c r="E566" s="16">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952"/>
      <c r="E567" s="16">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952"/>
      <c r="E568" s="16">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952"/>
      <c r="E569" s="16">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952"/>
      <c r="E570" s="16">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952"/>
      <c r="E571" s="16">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952"/>
      <c r="E572" s="16">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952"/>
      <c r="E573" s="16">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952"/>
      <c r="E574" s="16">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952"/>
      <c r="E575" s="16">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952"/>
      <c r="E576" s="16">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952"/>
      <c r="E577" s="16">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952"/>
      <c r="E578" s="16">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952"/>
      <c r="E579" s="16">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952"/>
      <c r="E580" s="16">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952"/>
      <c r="E581" s="16">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952"/>
      <c r="E582" s="16">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952"/>
      <c r="E583" s="16">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952"/>
      <c r="E584" s="16">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952"/>
      <c r="E585" s="16">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952"/>
      <c r="E586" s="16">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952"/>
      <c r="E587" s="16">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0" t="s">
        <v>0</v>
      </c>
      <c r="B1" s="3040" t="s">
        <v>4</v>
      </c>
      <c r="C1" s="3040" t="s">
        <v>5</v>
      </c>
      <c r="D1" s="3041" t="s">
        <v>53</v>
      </c>
      <c r="E1" s="3041" t="s">
        <v>54</v>
      </c>
      <c r="F1" s="3041"/>
      <c r="G1" s="3041"/>
      <c r="H1" s="3041"/>
      <c r="I1" s="3041"/>
      <c r="J1" s="3041"/>
      <c r="K1" s="3041"/>
      <c r="L1" s="3041"/>
      <c r="M1" s="3041"/>
    </row>
    <row r="2" spans="1:13" ht="27" customHeight="1">
      <c r="A2" s="3040"/>
      <c r="B2" s="3040"/>
      <c r="C2" s="3040"/>
      <c r="D2" s="3041"/>
      <c r="E2" s="3041" t="s">
        <v>37</v>
      </c>
      <c r="F2" s="3041" t="s">
        <v>38</v>
      </c>
      <c r="G2" s="3041"/>
      <c r="H2" s="3041"/>
      <c r="I2" s="3041"/>
      <c r="J2" s="3041" t="s">
        <v>39</v>
      </c>
      <c r="K2" s="3041"/>
      <c r="L2" s="3041"/>
      <c r="M2" s="3041"/>
    </row>
    <row r="3" spans="1:13" ht="28.5">
      <c r="A3" s="3040"/>
      <c r="B3" s="3040"/>
      <c r="C3" s="3040"/>
      <c r="D3" s="3041"/>
      <c r="E3" s="304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1" t="s">
        <v>55</v>
      </c>
      <c r="B9" s="3041"/>
      <c r="C9" s="304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42" sqref="H42"/>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1933</v>
      </c>
      <c r="B1" s="1392"/>
      <c r="C1" s="1392"/>
      <c r="D1" s="1392"/>
      <c r="E1" s="1392"/>
      <c r="F1" s="1392"/>
      <c r="G1" s="1392"/>
      <c r="H1" s="1392"/>
      <c r="I1" s="1392"/>
      <c r="J1" s="1392"/>
      <c r="K1" s="1392"/>
      <c r="L1" s="1392"/>
      <c r="M1" s="1392"/>
      <c r="N1" s="1392"/>
      <c r="O1" s="1392"/>
      <c r="P1" s="1392"/>
    </row>
    <row r="2" spans="1:16" ht="15">
      <c r="A2" s="3051" t="s">
        <v>1934</v>
      </c>
      <c r="B2" s="3051"/>
      <c r="C2" s="3051"/>
      <c r="D2" s="967" t="s">
        <v>1910</v>
      </c>
      <c r="E2" s="2224" t="s">
        <v>1911</v>
      </c>
      <c r="F2" s="1392"/>
      <c r="G2" s="2225"/>
      <c r="H2" s="2226"/>
      <c r="I2" s="2227" t="s">
        <v>1935</v>
      </c>
      <c r="J2" s="1392"/>
      <c r="K2" s="1392"/>
      <c r="L2" s="1392"/>
      <c r="M2" s="1392"/>
      <c r="N2" s="1427"/>
      <c r="O2" s="1392"/>
      <c r="P2" s="1392"/>
    </row>
    <row r="3" spans="1:16" ht="15.75" thickBot="1">
      <c r="A3" s="3052" t="s">
        <v>1908</v>
      </c>
      <c r="B3" s="3052"/>
      <c r="C3" s="3052"/>
      <c r="D3" s="46">
        <f>'数据-基础表'!AY6</f>
        <v>563.73</v>
      </c>
      <c r="E3" s="46">
        <f>'数据-基础表'!AZ5</f>
        <v>5028.579999999999</v>
      </c>
      <c r="F3" s="1392"/>
      <c r="G3" s="1399"/>
      <c r="H3" s="1247" t="s">
        <v>1909</v>
      </c>
      <c r="I3" s="55">
        <f>ROUND('数据-基础表'!B3/'数据-基础表'!A3,2)</f>
        <v>8.92</v>
      </c>
      <c r="J3" s="1392"/>
      <c r="K3" s="1392"/>
      <c r="L3" s="1392"/>
      <c r="M3" s="1392"/>
      <c r="N3" s="1427"/>
      <c r="O3" s="1392"/>
      <c r="P3" s="1392"/>
    </row>
    <row r="4" spans="1:16" ht="15">
      <c r="A4" s="3053"/>
      <c r="B4" s="3054"/>
      <c r="C4" s="3055"/>
      <c r="D4" s="2228" t="s">
        <v>1910</v>
      </c>
      <c r="E4" s="2229" t="s">
        <v>1911</v>
      </c>
      <c r="F4" s="1392"/>
      <c r="G4" s="2230" t="s">
        <v>1936</v>
      </c>
      <c r="H4" s="1247" t="s">
        <v>1916</v>
      </c>
      <c r="I4" s="55">
        <f>ROUND(SUMIF('数据-基础表'!I9:AS9,"地上",'数据-基础表'!I5:AS5)/'数据-基础表'!A3,2)</f>
        <v>8.92</v>
      </c>
      <c r="J4" s="1392"/>
      <c r="K4" s="1392"/>
      <c r="L4" s="1392"/>
      <c r="M4" s="1392"/>
      <c r="N4" s="1427"/>
      <c r="O4" s="1392"/>
      <c r="P4" s="1392"/>
    </row>
    <row r="5" spans="1:16">
      <c r="A5" s="47" t="s">
        <v>1912</v>
      </c>
      <c r="B5" s="3056" t="s">
        <v>1913</v>
      </c>
      <c r="C5" s="3056"/>
      <c r="D5" s="48">
        <f>ROUND($D$3*E5/$E$3,2)</f>
        <v>0</v>
      </c>
      <c r="E5" s="49">
        <f>SUMIF('数据-基础表'!$11:$11,"住宅",'数据-基础表'!$5:$5)</f>
        <v>0</v>
      </c>
      <c r="F5" s="1392"/>
      <c r="G5" s="1399"/>
      <c r="H5" s="1247" t="s">
        <v>1909</v>
      </c>
      <c r="I5" s="55">
        <f>ROUND(E31/D31,2)</f>
        <v>8.92</v>
      </c>
      <c r="J5" s="1392"/>
      <c r="K5" s="1392"/>
      <c r="L5" s="1392"/>
      <c r="M5" s="1392"/>
      <c r="N5" s="1392"/>
      <c r="O5" s="1392"/>
      <c r="P5" s="1392"/>
    </row>
    <row r="6" spans="1:16" ht="15" thickBot="1">
      <c r="A6" s="2231"/>
      <c r="B6" s="3056" t="s">
        <v>1914</v>
      </c>
      <c r="C6" s="3056"/>
      <c r="D6" s="48">
        <f>ROUND($D$3*E6/$E$3,2)</f>
        <v>563.73</v>
      </c>
      <c r="E6" s="49">
        <f>E3-E5</f>
        <v>5028.579999999999</v>
      </c>
      <c r="F6" s="1392"/>
      <c r="G6" s="2232" t="s">
        <v>1915</v>
      </c>
      <c r="H6" s="1399" t="s">
        <v>1916</v>
      </c>
      <c r="I6" s="939">
        <f>ROUND(F31/D31,2)</f>
        <v>8.92</v>
      </c>
      <c r="J6" s="1392"/>
      <c r="K6" s="1392"/>
      <c r="L6" s="1392"/>
      <c r="M6" s="1392"/>
      <c r="N6" s="1392"/>
      <c r="O6" s="1392"/>
      <c r="P6" s="1392"/>
    </row>
    <row r="7" spans="1:16" ht="15">
      <c r="A7" s="3048"/>
      <c r="B7" s="3049"/>
      <c r="C7" s="3050"/>
      <c r="D7" s="2228" t="s">
        <v>1910</v>
      </c>
      <c r="E7" s="2233" t="s">
        <v>1917</v>
      </c>
      <c r="F7" s="1392"/>
      <c r="G7" s="2225" t="s">
        <v>1918</v>
      </c>
      <c r="H7" s="64"/>
      <c r="I7" s="420"/>
      <c r="J7" s="1392"/>
      <c r="K7" s="1392"/>
      <c r="L7" s="1392"/>
      <c r="M7" s="1392"/>
      <c r="N7" s="1392"/>
      <c r="O7" s="1392"/>
      <c r="P7" s="1392"/>
    </row>
    <row r="8" spans="1:16">
      <c r="A8" s="47" t="s">
        <v>1919</v>
      </c>
      <c r="B8" s="50" t="s">
        <v>1920</v>
      </c>
      <c r="C8" s="48" t="s">
        <v>1921</v>
      </c>
      <c r="D8" s="48">
        <f t="shared" ref="D8:D15" si="0">ROUND($D$3*E8/$E$3,2)</f>
        <v>563.73</v>
      </c>
      <c r="E8" s="51">
        <f>SUMIF('数据-基础表'!BB10:BK10,"地上",'数据-基础表'!BB5:BK5)</f>
        <v>5028.579999999999</v>
      </c>
      <c r="F8" s="1392"/>
      <c r="G8" s="2234"/>
      <c r="H8" s="2234"/>
      <c r="I8" s="1392"/>
      <c r="J8" s="1392"/>
      <c r="K8" s="1392"/>
      <c r="L8" s="1392"/>
      <c r="M8" s="1392"/>
      <c r="N8" s="1392"/>
      <c r="O8" s="1392"/>
      <c r="P8" s="1392"/>
    </row>
    <row r="9" spans="1:16">
      <c r="A9" s="2235"/>
      <c r="B9" s="2236"/>
      <c r="C9" s="48" t="s">
        <v>1922</v>
      </c>
      <c r="D9" s="48">
        <f t="shared" si="0"/>
        <v>0</v>
      </c>
      <c r="E9" s="52">
        <v>0</v>
      </c>
      <c r="F9" s="1392"/>
      <c r="G9" s="2234"/>
      <c r="H9" s="2234"/>
      <c r="I9" s="1392"/>
      <c r="J9" s="1392"/>
      <c r="K9" s="1392"/>
      <c r="L9" s="1392"/>
      <c r="M9" s="1392"/>
      <c r="N9" s="1392"/>
      <c r="O9" s="1392"/>
      <c r="P9" s="1392"/>
    </row>
    <row r="10" spans="1:16">
      <c r="A10" s="2235"/>
      <c r="B10" s="2236"/>
      <c r="C10" s="48" t="s">
        <v>1931</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1923</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1924</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1925</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1937</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1932</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1926</v>
      </c>
      <c r="D16" s="50">
        <f>SUM(D8:D15)</f>
        <v>563.73</v>
      </c>
      <c r="E16" s="53">
        <f>SUM(E8:E15)</f>
        <v>5028.579999999999</v>
      </c>
      <c r="F16" s="1392"/>
      <c r="G16" s="2234"/>
      <c r="H16" s="2237" t="s">
        <v>1938</v>
      </c>
      <c r="I16" s="2238"/>
      <c r="J16" s="1392"/>
      <c r="K16" s="3045" t="s">
        <v>1938</v>
      </c>
      <c r="L16" s="3046"/>
      <c r="M16" s="3046"/>
      <c r="N16" s="3046"/>
      <c r="O16" s="3046"/>
      <c r="P16" s="3047"/>
    </row>
    <row r="17" spans="1:19" ht="15">
      <c r="A17" s="2239" t="s">
        <v>1939</v>
      </c>
      <c r="B17" s="2240" t="s">
        <v>1940</v>
      </c>
      <c r="C17" s="2241" t="s">
        <v>1941</v>
      </c>
      <c r="D17" s="2242" t="s">
        <v>1929</v>
      </c>
      <c r="E17" s="2243" t="s">
        <v>1930</v>
      </c>
      <c r="F17" s="2244"/>
      <c r="G17" s="2245"/>
      <c r="H17" s="2246" t="s">
        <v>1942</v>
      </c>
      <c r="I17" s="2247" t="s">
        <v>1927</v>
      </c>
      <c r="J17" s="1392"/>
      <c r="K17" s="3042" t="s">
        <v>1943</v>
      </c>
      <c r="L17" s="3043"/>
      <c r="M17" s="3044"/>
      <c r="N17" s="3042" t="s">
        <v>1944</v>
      </c>
      <c r="O17" s="3043"/>
      <c r="P17" s="3044"/>
      <c r="R17" s="2225" t="s">
        <v>1945</v>
      </c>
      <c r="S17" s="64"/>
    </row>
    <row r="18" spans="1:19" ht="15">
      <c r="A18" s="2235"/>
      <c r="B18" s="2248"/>
      <c r="C18" s="2249"/>
      <c r="D18" s="2250"/>
      <c r="E18" s="2251" t="s">
        <v>1946</v>
      </c>
      <c r="F18" s="2252" t="s">
        <v>1947</v>
      </c>
      <c r="G18" s="2253" t="s">
        <v>1948</v>
      </c>
      <c r="H18" s="1262" t="s">
        <v>1949</v>
      </c>
      <c r="I18" s="2254" t="s">
        <v>1950</v>
      </c>
      <c r="J18" s="1392"/>
      <c r="K18" s="1262" t="s">
        <v>1951</v>
      </c>
      <c r="L18" s="2255" t="s">
        <v>1952</v>
      </c>
      <c r="M18" s="1046" t="s">
        <v>1953</v>
      </c>
      <c r="N18" s="1262" t="s">
        <v>1951</v>
      </c>
      <c r="O18" s="2255" t="s">
        <v>1952</v>
      </c>
      <c r="P18" s="1046" t="s">
        <v>1953</v>
      </c>
      <c r="R18" s="1247" t="s">
        <v>1954</v>
      </c>
      <c r="S18" s="1247" t="s">
        <v>1955</v>
      </c>
    </row>
    <row r="19" spans="1:19">
      <c r="A19" s="2256"/>
      <c r="B19" s="50" t="s">
        <v>1928</v>
      </c>
      <c r="C19" s="2958" t="s">
        <v>3071</v>
      </c>
      <c r="D19" s="48">
        <f>ROUND($D$3*E19/$E$3,2)</f>
        <v>563.73</v>
      </c>
      <c r="E19" s="56">
        <f t="shared" ref="E19:E26" si="1">SUM(F19:G19)</f>
        <v>5028.579999999999</v>
      </c>
      <c r="F19" s="57">
        <f>'数据-基础表'!I5</f>
        <v>5028.579999999999</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8"/>
      <c r="O19" s="2259"/>
      <c r="P19" s="1403">
        <f>N19+O19</f>
        <v>0</v>
      </c>
      <c r="R19" s="1247">
        <f t="shared" ref="R19:S26" si="5">D19+H19</f>
        <v>563.73</v>
      </c>
      <c r="S19" s="1248">
        <f t="shared" si="5"/>
        <v>5028.579999999999</v>
      </c>
    </row>
    <row r="20" spans="1:19">
      <c r="A20" s="2260"/>
      <c r="B20" s="50" t="s">
        <v>1956</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1956</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1957</v>
      </c>
      <c r="D27" s="1393">
        <f>SUM(D19:D26)</f>
        <v>563.73</v>
      </c>
      <c r="E27" s="1394">
        <f>IF(SUM(E19:E26)='数据-基础表'!BA5,SUM(E19:E26),IF(F27="地上面积有误","面积有误","地下面积有误"))</f>
        <v>5028.579999999999</v>
      </c>
      <c r="F27" s="1393">
        <f>IF(SUM(F19:F26)=E8,SUM(F19:F26),"地上面积有误")</f>
        <v>5028.579999999999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563.73</v>
      </c>
      <c r="S27" s="1247">
        <f>IF(SUM(S19:S26)=$E$3,SUM(S19:S26),SUM(S19:S26)&amp;"误差"&amp;ROUND(SUM(S19:S26)-E3,2))</f>
        <v>5028.579999999999</v>
      </c>
    </row>
    <row r="28" spans="1:19">
      <c r="A28" s="2260"/>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0"/>
      <c r="B29" s="50" t="s">
        <v>1958</v>
      </c>
      <c r="C29" s="2264"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6"/>
      <c r="B31" s="2267"/>
      <c r="C31" s="1007" t="s">
        <v>1961</v>
      </c>
      <c r="D31" s="729">
        <f>D27+D30</f>
        <v>563.73</v>
      </c>
      <c r="E31" s="729">
        <f>E27+E30</f>
        <v>5028.579999999999</v>
      </c>
      <c r="F31" s="730">
        <f>F27+F30</f>
        <v>5028.579999999999</v>
      </c>
      <c r="G31" s="731">
        <f>G27+G30</f>
        <v>0</v>
      </c>
      <c r="H31" s="1392"/>
      <c r="I31" s="1392"/>
      <c r="J31" s="1392"/>
      <c r="K31" s="1392"/>
      <c r="L31" s="1392"/>
      <c r="M31" s="1392"/>
      <c r="N31" s="1392"/>
      <c r="O31" s="1392"/>
      <c r="P31" s="1392"/>
    </row>
    <row r="32" spans="1:19">
      <c r="A32" s="2230"/>
      <c r="B32" s="2230" t="s">
        <v>1962</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T30" sqref="T30"/>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7"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1963</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3" t="s">
        <v>1964</v>
      </c>
      <c r="B2" s="1266">
        <f>项目基本情况!D3</f>
        <v>43774</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5" thickBot="1">
      <c r="A4" s="68" t="s">
        <v>1965</v>
      </c>
      <c r="B4" s="2278"/>
      <c r="C4" s="2279"/>
      <c r="D4" s="2280"/>
      <c r="E4" s="2279" t="s">
        <v>1966</v>
      </c>
      <c r="F4" s="2279"/>
      <c r="G4" s="2279"/>
      <c r="H4" s="2279"/>
      <c r="I4" s="2279"/>
      <c r="J4" s="2281"/>
      <c r="K4" s="2282"/>
      <c r="L4" s="2283"/>
      <c r="M4" s="2279"/>
      <c r="N4" s="2279" t="s">
        <v>1967</v>
      </c>
      <c r="O4" s="2279"/>
      <c r="P4" s="2279"/>
      <c r="Q4" s="2279"/>
      <c r="R4" s="2279"/>
      <c r="S4" s="2281"/>
      <c r="T4" s="2284" t="str">
        <f>'数据-汇总表'!I17</f>
        <v>按面积比例</v>
      </c>
      <c r="U4" s="2278" t="s">
        <v>1968</v>
      </c>
      <c r="V4" s="2279"/>
      <c r="W4" s="2279"/>
      <c r="X4" s="2279"/>
      <c r="Y4" s="2281"/>
      <c r="Z4" s="2241" t="s">
        <v>1969</v>
      </c>
      <c r="AA4" s="2241"/>
      <c r="AB4" s="2241"/>
      <c r="AC4" s="2241"/>
      <c r="AD4" s="2241"/>
      <c r="AE4" s="2239" t="s">
        <v>1970</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2">
      <c r="A5" s="2286" t="s">
        <v>1971</v>
      </c>
      <c r="B5" s="2287" t="s">
        <v>1972</v>
      </c>
      <c r="C5" s="2288" t="s">
        <v>1973</v>
      </c>
      <c r="D5" s="2289" t="s">
        <v>1974</v>
      </c>
      <c r="E5" s="1268" t="s">
        <v>1975</v>
      </c>
      <c r="F5" s="2290" t="s">
        <v>1976</v>
      </c>
      <c r="G5" s="1268" t="s">
        <v>1977</v>
      </c>
      <c r="H5" s="1268" t="s">
        <v>1978</v>
      </c>
      <c r="I5" s="1268" t="s">
        <v>1979</v>
      </c>
      <c r="J5" s="2291" t="s">
        <v>1980</v>
      </c>
      <c r="K5" s="2292" t="s">
        <v>1981</v>
      </c>
      <c r="L5" s="2293" t="s">
        <v>1982</v>
      </c>
      <c r="M5" s="2294" t="s">
        <v>1983</v>
      </c>
      <c r="N5" s="2295" t="s">
        <v>3147</v>
      </c>
      <c r="O5" s="2293" t="s">
        <v>1984</v>
      </c>
      <c r="P5" s="2296" t="s">
        <v>1985</v>
      </c>
      <c r="Q5" s="69" t="s">
        <v>1986</v>
      </c>
      <c r="R5" s="2297" t="s">
        <v>1987</v>
      </c>
      <c r="S5" s="2298" t="s">
        <v>1988</v>
      </c>
      <c r="T5" s="2299" t="s">
        <v>1989</v>
      </c>
      <c r="U5" s="1267" t="s">
        <v>1990</v>
      </c>
      <c r="V5" s="1268" t="s">
        <v>1991</v>
      </c>
      <c r="W5" s="1268" t="s">
        <v>1992</v>
      </c>
      <c r="X5" s="71"/>
      <c r="Y5" s="70" t="s">
        <v>1993</v>
      </c>
      <c r="Z5" s="2300" t="s">
        <v>1990</v>
      </c>
      <c r="AA5" s="1268" t="s">
        <v>1991</v>
      </c>
      <c r="AB5" s="1268" t="s">
        <v>1992</v>
      </c>
      <c r="AC5" s="71"/>
      <c r="AD5" s="71" t="s">
        <v>1993</v>
      </c>
      <c r="AE5" s="1267" t="s">
        <v>1994</v>
      </c>
      <c r="AF5" s="1268" t="s">
        <v>1995</v>
      </c>
      <c r="AG5" s="70" t="s">
        <v>1996</v>
      </c>
      <c r="AH5" s="1267" t="s">
        <v>1997</v>
      </c>
      <c r="AI5" s="2300" t="s">
        <v>1998</v>
      </c>
      <c r="AJ5" s="2300" t="s">
        <v>1999</v>
      </c>
      <c r="AK5" s="1268" t="s">
        <v>2000</v>
      </c>
      <c r="AL5" s="1268" t="s">
        <v>2001</v>
      </c>
      <c r="AM5" s="70" t="s">
        <v>2002</v>
      </c>
      <c r="AN5" s="2301" t="s">
        <v>2003</v>
      </c>
      <c r="AO5" s="2072" t="s">
        <v>2004</v>
      </c>
      <c r="AP5" s="1249" t="s">
        <v>2005</v>
      </c>
      <c r="AQ5" s="2302" t="s">
        <v>2006</v>
      </c>
      <c r="AR5" s="2302" t="s">
        <v>2007</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3" t="str">
        <f>'数据-汇总表'!C19</f>
        <v>办公楼</v>
      </c>
      <c r="B6" s="2304" t="str">
        <f>IF(A6=0,"","经营性")</f>
        <v>经营性</v>
      </c>
      <c r="C6" s="2305" t="s">
        <v>27</v>
      </c>
      <c r="D6" s="1051">
        <f>SUMIF(项目基本情况!D$12:I$12,C6,项目基本情况!D$14:I$14)</f>
        <v>50</v>
      </c>
      <c r="E6" s="1048">
        <f>IF(B6="","",SUMIF(项目基本情况!D$12:I$12,C6,项目基本情况!D$13:I$13))</f>
        <v>55330</v>
      </c>
      <c r="F6" s="72">
        <f>SUMIF(项目基本情况!D$12:I$12,C6,项目基本情况!D$15:I$15)</f>
        <v>31.66</v>
      </c>
      <c r="G6" s="73">
        <f ca="1">IF(ISERROR(ROUND(POWER(1+H6,D6-F6)*(POWER(1+H6,F6)-1)/(POWER(1+H6,D6)-1),3)),0,ROUND(POWER(1+H6,D6-F6)*(POWER(1+H6,F6)-1)/(POWER(1+H6,D6)-1),3))</f>
        <v>0.86799999999999999</v>
      </c>
      <c r="H6" s="3297">
        <f ca="1">基准地价修正!G20</f>
        <v>5.1999999999999998E-2</v>
      </c>
      <c r="I6" s="802">
        <v>5.5E-2</v>
      </c>
      <c r="J6" s="74">
        <v>8.5000000000000006E-2</v>
      </c>
      <c r="K6" s="1251">
        <f>SUMIF('数据-汇总表'!C$19:C$33,A6,'数据-汇总表'!E$19:E$33)</f>
        <v>5028.579999999999</v>
      </c>
      <c r="L6" s="803">
        <v>3000</v>
      </c>
      <c r="M6" s="75">
        <f t="shared" ref="M6:M14" si="0">ROUND(K6*L6/10000,0)</f>
        <v>1509</v>
      </c>
      <c r="N6" s="801">
        <f>ROUND(1-(2019-2004)/60,2)</f>
        <v>0.75</v>
      </c>
      <c r="O6" s="75" t="str">
        <f>IF($N$5="成新度","——",ROUND(M6*N6,0))</f>
        <v>——</v>
      </c>
      <c r="P6" s="76" t="str">
        <f>IF($N$5="成新度","——",M6-O6)</f>
        <v>——</v>
      </c>
      <c r="Q6" s="804">
        <v>0.2</v>
      </c>
      <c r="R6" s="77">
        <f ca="1">SUMIF('数据-汇总表'!C$19:C$33,A6,'数据-汇总表'!R$19:R$27)</f>
        <v>563.73</v>
      </c>
      <c r="S6" s="54">
        <f>IF('数据-汇总表'!$I$17="按面积比例",SUMIF('数据-汇总表'!C$19:C$33,A6,'数据-汇总表'!K$19:K$33),SUMIF('数据-汇总表'!C$19:C$33,A6,'数据-汇总表'!N$19:N$33))</f>
        <v>0</v>
      </c>
      <c r="T6" s="1443">
        <f>ROUND($L$14*S6/10000,0)</f>
        <v>0</v>
      </c>
      <c r="U6" s="3298">
        <v>4.4000000000000004</v>
      </c>
      <c r="V6" s="79">
        <v>0</v>
      </c>
      <c r="W6" s="79">
        <v>0</v>
      </c>
      <c r="X6" s="1261"/>
      <c r="Y6" s="80">
        <f>Q6</f>
        <v>0.2</v>
      </c>
      <c r="Z6" s="3299">
        <f>ROUND(收益法!F49*(1+'数据-取费表'!AA6)^'数据-取费表'!AF6,2)</f>
        <v>6.19</v>
      </c>
      <c r="AA6" s="74">
        <v>0.03</v>
      </c>
      <c r="AB6" s="74">
        <v>0.1</v>
      </c>
      <c r="AC6" s="1261"/>
      <c r="AD6" s="82">
        <f>ROUND(1-(2020-2004)/60,2)</f>
        <v>0.73</v>
      </c>
      <c r="AE6" s="1262">
        <f ca="1">IF(AN6="",0,SUMIF(INDIRECT("'"&amp;AN6&amp;"'"&amp;"!E:E"),$AE$5,INDIRECT("'"&amp;AN6&amp;"'"&amp;"!F:F")))</f>
        <v>31.66</v>
      </c>
      <c r="AF6" s="1804">
        <v>1.07</v>
      </c>
      <c r="AG6" s="147">
        <f ca="1">IF(AF6="",0,AE6-AF6)</f>
        <v>30.59</v>
      </c>
      <c r="AH6" s="83"/>
      <c r="AI6" s="85">
        <v>365</v>
      </c>
      <c r="AJ6" s="86"/>
      <c r="AK6" s="87">
        <v>2.5000000000000001E-2</v>
      </c>
      <c r="AL6" s="88">
        <v>2E-3</v>
      </c>
      <c r="AM6" s="89">
        <v>0.03</v>
      </c>
      <c r="AN6" s="2306" t="s">
        <v>3072</v>
      </c>
      <c r="AO6" s="55">
        <f ca="1">SUMIF(INDIRECT("'"&amp;AN6&amp;"'"&amp;"!A:A"),"总价",INDIRECT("'"&amp;AN6&amp;"'"&amp;"!B:B"))</f>
        <v>15540</v>
      </c>
      <c r="AP6" s="2307">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25">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25">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25">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25">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25">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25">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25">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25">
      <c r="A14" s="2308" t="s">
        <v>2008</v>
      </c>
      <c r="B14" s="2304" t="s">
        <v>2009</v>
      </c>
      <c r="C14" s="2309"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7">
      <c r="A15" s="2308" t="s">
        <v>2010</v>
      </c>
      <c r="B15" s="2304" t="s">
        <v>2009</v>
      </c>
      <c r="C15" s="2309"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5.75" thickBot="1">
      <c r="A16" s="2310" t="s">
        <v>2012</v>
      </c>
      <c r="B16" s="97"/>
      <c r="C16" s="1005"/>
      <c r="D16" s="2311"/>
      <c r="E16" s="97"/>
      <c r="F16" s="97"/>
      <c r="G16" s="98">
        <f ca="1">ROUND(SUMPRODUCT(G6:G13,K6:K13)/SUMPRODUCT((G6:G13&gt;0)*(K6:K13)),3)</f>
        <v>0.86799999999999999</v>
      </c>
      <c r="H16" s="99">
        <f ca="1">ROUND(SUMPRODUCT(H6:H13,K6:K13)/SUMPRODUCT((H6:H13&gt;0)*(K6:K13)),3)</f>
        <v>5.1999999999999998E-2</v>
      </c>
      <c r="I16" s="100"/>
      <c r="J16" s="100"/>
      <c r="K16" s="101">
        <f>SUM(K6:K15)</f>
        <v>5028.579999999999</v>
      </c>
      <c r="L16" s="102">
        <f>ROUND(M16*10000/SUM(K6:K14),0)</f>
        <v>3001</v>
      </c>
      <c r="M16" s="102">
        <f>SUM(M6:M14)</f>
        <v>1509</v>
      </c>
      <c r="N16" s="103">
        <f>ROUND(SUMPRODUCT(M6:M14,N6:N14)/M16,3)</f>
        <v>0.75</v>
      </c>
      <c r="O16" s="102">
        <f>SUM(O6:O14)</f>
        <v>0</v>
      </c>
      <c r="P16" s="102">
        <f>SUM(P6:P14)</f>
        <v>0</v>
      </c>
      <c r="Q16" s="104">
        <f>ROUND(SUMPRODUCT(Q6:Q13,K6:K13)/SUMPRODUCT((Q6:Q13&gt;0)*(K6:K13)),2)</f>
        <v>0.2</v>
      </c>
      <c r="R16" s="1255">
        <f ca="1">SUM(R6:R13)</f>
        <v>563.73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3" t="s">
        <v>2014</v>
      </c>
      <c r="B19" s="112">
        <v>0</v>
      </c>
      <c r="C19" s="2274" t="s">
        <v>2015</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4" t="s">
        <v>2016</v>
      </c>
      <c r="B20" s="113">
        <v>1.5</v>
      </c>
      <c r="C20" s="2274" t="s">
        <v>2017</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5" t="s">
        <v>2018</v>
      </c>
      <c r="B21" s="113">
        <v>1.5</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4" t="s">
        <v>2019</v>
      </c>
      <c r="B22" s="114">
        <f>B19+B20</f>
        <v>1.5</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5" t="s">
        <v>2020</v>
      </c>
      <c r="B23" s="114">
        <f>B19+B21</f>
        <v>1.5</v>
      </c>
      <c r="C23" s="2274"/>
      <c r="D23" s="2275"/>
      <c r="E23" s="2274"/>
      <c r="F23" s="2274"/>
      <c r="G23" s="2274"/>
      <c r="H23" s="2274"/>
      <c r="I23" s="2274"/>
      <c r="J23" s="2274"/>
      <c r="K23" s="168"/>
      <c r="L23" s="168"/>
      <c r="M23" s="1581"/>
      <c r="N23" s="1581"/>
      <c r="O23" s="1581"/>
      <c r="P23" s="1581"/>
      <c r="Q23" s="1581"/>
      <c r="R23" s="1581"/>
      <c r="S23" s="1581"/>
      <c r="T23" s="1581"/>
      <c r="U23" s="1581"/>
      <c r="V23" s="1581">
        <f>1000*10*12/K16/365</f>
        <v>6.5379714211103598E-2</v>
      </c>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6" t="s">
        <v>2021</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f>U6-V23</f>
        <v>4.3346202857888967</v>
      </c>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2022</v>
      </c>
      <c r="B26" s="2317" t="s">
        <v>2023</v>
      </c>
      <c r="C26" s="2318" t="s">
        <v>2024</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7.75">
      <c r="A27" s="2319" t="s">
        <v>2025</v>
      </c>
      <c r="B27" s="116"/>
      <c r="C27" s="1764" t="s">
        <v>2026</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7.75">
      <c r="A28" s="2322" t="s">
        <v>2027</v>
      </c>
      <c r="B28" s="119">
        <v>200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8.5" thickBot="1">
      <c r="A29" s="2324" t="s">
        <v>2028</v>
      </c>
      <c r="B29" s="121">
        <f>ROUND(B28*K16/10000,0)</f>
        <v>101</v>
      </c>
      <c r="C29" s="1764" t="s">
        <v>2029</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7">
      <c r="A30" s="2325" t="s">
        <v>2030</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7">
      <c r="A31" s="2322" t="s">
        <v>2031</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7.75" thickBot="1">
      <c r="A32" s="2326" t="s">
        <v>2032</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25">
      <c r="A33" s="2319" t="s">
        <v>2033</v>
      </c>
      <c r="B33" s="726">
        <v>0.03</v>
      </c>
      <c r="C33" s="1763" t="s">
        <v>2034</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25">
      <c r="A34" s="2322" t="s">
        <v>2035</v>
      </c>
      <c r="B34" s="122">
        <v>0</v>
      </c>
      <c r="C34" s="1763" t="s">
        <v>2036</v>
      </c>
      <c r="D34" s="2275" t="s">
        <v>2037</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25">
      <c r="A35" s="2322" t="s">
        <v>2038</v>
      </c>
      <c r="B35" s="119">
        <v>200</v>
      </c>
      <c r="C35" s="1763" t="s">
        <v>2039</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4" t="s">
        <v>2040</v>
      </c>
      <c r="B36" s="123">
        <v>1.4999999999999999E-2</v>
      </c>
      <c r="C36" s="1763" t="s">
        <v>2041</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5" t="s">
        <v>2042</v>
      </c>
      <c r="B37" s="124">
        <v>0.01</v>
      </c>
      <c r="C37" s="1763" t="s">
        <v>2043</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2" t="s">
        <v>2044</v>
      </c>
      <c r="B38" s="122">
        <v>0.01</v>
      </c>
      <c r="C38" s="1763" t="s">
        <v>2043</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6" t="s">
        <v>2045</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6" t="s">
        <v>2046</v>
      </c>
      <c r="B40" s="1300">
        <f ca="1">存贷款利率!G1</f>
        <v>4.7500000000000001E-2</v>
      </c>
      <c r="C40" s="1763" t="s">
        <v>2047</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9" t="s">
        <v>2048</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7" t="s">
        <v>2049</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7" t="s">
        <v>2050</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9" t="s">
        <v>2051</v>
      </c>
      <c r="B44" s="128">
        <v>7.0000000000000007E-2</v>
      </c>
      <c r="C44" s="1763" t="s">
        <v>2052</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9" t="s">
        <v>2053</v>
      </c>
      <c r="B45" s="126">
        <v>0.03</v>
      </c>
      <c r="C45" s="1764" t="s">
        <v>2054</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9" t="s">
        <v>2055</v>
      </c>
      <c r="B46" s="126">
        <v>0.02</v>
      </c>
      <c r="C46" s="1764" t="s">
        <v>2056</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0" t="s">
        <v>2057</v>
      </c>
      <c r="B47" s="129">
        <v>0</v>
      </c>
      <c r="C47" s="1764" t="s">
        <v>2058</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1" t="s">
        <v>2059</v>
      </c>
      <c r="B48" s="130">
        <v>0.03</v>
      </c>
      <c r="C48" s="1771" t="s">
        <v>2060</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6" t="s">
        <v>2061</v>
      </c>
      <c r="B49" s="126">
        <v>5.0000000000000001E-4</v>
      </c>
      <c r="C49" s="1771" t="s">
        <v>2062</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2" t="s">
        <v>2063</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2064</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2" t="s">
        <v>2065</v>
      </c>
      <c r="B52" s="133">
        <f>SUMIF(A54:A63,B53,B54:B63)</f>
        <v>24</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2" t="s">
        <v>2066</v>
      </c>
      <c r="B53" s="2333" t="s">
        <v>269</v>
      </c>
      <c r="C53" s="1427" t="s">
        <v>2067</v>
      </c>
      <c r="D53" s="2334" t="s">
        <v>2068</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5" t="s">
        <v>2069</v>
      </c>
      <c r="B54" s="84"/>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5" t="s">
        <v>2070</v>
      </c>
      <c r="B55" s="84">
        <v>24</v>
      </c>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5" t="s">
        <v>2071</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5" t="s">
        <v>2072</v>
      </c>
      <c r="B57" s="84"/>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5" t="s">
        <v>2073</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5" t="s">
        <v>2074</v>
      </c>
      <c r="B59" s="84"/>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5" t="s">
        <v>2075</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5" t="s">
        <v>2076</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5" t="s">
        <v>2077</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7" t="s">
        <v>2078</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10" sqref="F10"/>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57" t="s">
        <v>2079</v>
      </c>
      <c r="B1" s="3058"/>
      <c r="C1" s="3058"/>
      <c r="D1" s="3058"/>
      <c r="E1" s="3058"/>
      <c r="F1" s="3058"/>
      <c r="G1" s="3058"/>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2080</v>
      </c>
      <c r="D2" s="2362"/>
      <c r="E2" s="2363"/>
      <c r="F2" s="2283"/>
      <c r="G2" s="2361" t="s">
        <v>2081</v>
      </c>
      <c r="H2" s="2364"/>
      <c r="I2" s="2364"/>
      <c r="J2" s="2364"/>
      <c r="K2" s="2364"/>
      <c r="L2" s="2364"/>
      <c r="M2" s="2364"/>
      <c r="N2" s="2364"/>
      <c r="O2" s="2364"/>
      <c r="P2" s="2364"/>
      <c r="Q2" s="2364"/>
      <c r="R2" s="2364"/>
    </row>
    <row r="3" spans="1:29" ht="54">
      <c r="A3" s="415" t="s">
        <v>2082</v>
      </c>
      <c r="B3" s="1268" t="s">
        <v>2083</v>
      </c>
      <c r="C3" s="2366" t="s">
        <v>2084</v>
      </c>
      <c r="D3" s="2367"/>
      <c r="E3" s="431" t="s">
        <v>2082</v>
      </c>
      <c r="F3" s="2368" t="s">
        <v>2085</v>
      </c>
      <c r="G3" s="2369" t="s">
        <v>2086</v>
      </c>
      <c r="H3" s="2364"/>
      <c r="I3" s="2364"/>
      <c r="J3" s="2364"/>
      <c r="K3" s="2364"/>
      <c r="L3" s="2364"/>
      <c r="M3" s="2364"/>
      <c r="N3" s="2364"/>
      <c r="O3" s="2364"/>
      <c r="P3" s="2364"/>
      <c r="Q3" s="2364"/>
      <c r="R3" s="2364"/>
    </row>
    <row r="4" spans="1:29" ht="41.25">
      <c r="A4" s="431"/>
      <c r="B4" s="1795" t="s">
        <v>2087</v>
      </c>
      <c r="C4" s="2370" t="s">
        <v>2088</v>
      </c>
      <c r="D4" s="2367"/>
      <c r="E4" s="2371"/>
      <c r="F4" s="42" t="s">
        <v>2089</v>
      </c>
      <c r="G4" s="2372" t="s">
        <v>2090</v>
      </c>
      <c r="H4" s="2364"/>
      <c r="I4" s="2364"/>
      <c r="J4" s="2364"/>
      <c r="K4" s="2364"/>
      <c r="L4" s="2364"/>
      <c r="M4" s="2364"/>
      <c r="N4" s="2364"/>
      <c r="O4" s="2364"/>
      <c r="P4" s="2364"/>
      <c r="Q4" s="2364"/>
      <c r="R4" s="2364"/>
    </row>
    <row r="5" spans="1:29" ht="27">
      <c r="A5" s="431"/>
      <c r="B5" s="1795" t="s">
        <v>2091</v>
      </c>
      <c r="C5" s="2959" t="s">
        <v>3073</v>
      </c>
      <c r="D5" s="2367"/>
      <c r="E5" s="2371"/>
      <c r="F5" s="1795" t="s">
        <v>2092</v>
      </c>
      <c r="G5" s="2372" t="s">
        <v>2093</v>
      </c>
      <c r="H5" s="2364"/>
      <c r="I5" s="2364"/>
      <c r="J5" s="2364"/>
      <c r="K5" s="2364"/>
      <c r="L5" s="2364"/>
      <c r="M5" s="2364"/>
      <c r="N5" s="2364"/>
      <c r="O5" s="2364"/>
      <c r="P5" s="2364"/>
      <c r="Q5" s="2364"/>
      <c r="R5" s="2364"/>
    </row>
    <row r="6" spans="1:29" ht="15">
      <c r="A6" s="431"/>
      <c r="B6" s="1795" t="s">
        <v>2094</v>
      </c>
      <c r="C6" s="2960" t="s">
        <v>3073</v>
      </c>
      <c r="D6" s="2367"/>
      <c r="E6" s="2371"/>
      <c r="F6" s="1795" t="s">
        <v>2095</v>
      </c>
      <c r="G6" s="2372" t="s">
        <v>2096</v>
      </c>
      <c r="H6" s="2364"/>
      <c r="I6" s="2364"/>
      <c r="J6" s="2364"/>
      <c r="K6" s="2364"/>
      <c r="L6" s="2364"/>
      <c r="M6" s="2364"/>
      <c r="N6" s="2364"/>
      <c r="O6" s="2364"/>
      <c r="P6" s="2364"/>
      <c r="Q6" s="2364"/>
      <c r="R6" s="2364"/>
    </row>
    <row r="7" spans="1:29" ht="41.25" thickBot="1">
      <c r="A7" s="431"/>
      <c r="B7" s="1795" t="s">
        <v>2092</v>
      </c>
      <c r="C7" s="2960" t="s">
        <v>3073</v>
      </c>
      <c r="D7" s="2373"/>
      <c r="E7" s="2374"/>
      <c r="F7" s="2375" t="s">
        <v>2097</v>
      </c>
      <c r="G7" s="2376" t="s">
        <v>2098</v>
      </c>
      <c r="H7" s="2364"/>
      <c r="I7" s="2364"/>
      <c r="J7" s="2364"/>
      <c r="K7" s="2364"/>
      <c r="L7" s="2364"/>
      <c r="M7" s="2364"/>
      <c r="N7" s="2364"/>
      <c r="O7" s="2364"/>
      <c r="P7" s="2364"/>
      <c r="Q7" s="2364"/>
      <c r="R7" s="2364"/>
    </row>
    <row r="8" spans="1:29" ht="15">
      <c r="A8" s="431"/>
      <c r="B8" s="1795" t="s">
        <v>2095</v>
      </c>
      <c r="C8" s="2960" t="s">
        <v>3074</v>
      </c>
      <c r="D8" s="2373"/>
      <c r="E8" s="2373"/>
      <c r="F8" s="1133"/>
      <c r="G8" s="1133"/>
      <c r="H8" s="2364"/>
      <c r="I8" s="2364"/>
      <c r="J8" s="2364"/>
      <c r="K8" s="2364"/>
      <c r="L8" s="2364"/>
      <c r="M8" s="2364"/>
      <c r="N8" s="2364"/>
      <c r="O8" s="2364"/>
      <c r="P8" s="2364"/>
      <c r="Q8" s="2364"/>
      <c r="R8" s="2364"/>
    </row>
    <row r="9" spans="1:29" ht="15">
      <c r="A9" s="431"/>
      <c r="B9" s="1795" t="s">
        <v>2099</v>
      </c>
      <c r="C9" s="2959" t="s">
        <v>3073</v>
      </c>
      <c r="D9" s="2367"/>
      <c r="E9" s="2373"/>
      <c r="F9" s="1133"/>
      <c r="G9" s="1133"/>
      <c r="H9" s="2364"/>
      <c r="I9" s="2364"/>
      <c r="J9" s="2364"/>
      <c r="K9" s="2364"/>
      <c r="L9" s="2364"/>
      <c r="M9" s="2364"/>
      <c r="N9" s="2364"/>
      <c r="O9" s="2364"/>
      <c r="P9" s="2364"/>
      <c r="Q9" s="2364"/>
      <c r="R9" s="2364"/>
    </row>
    <row r="10" spans="1:29" s="117" customFormat="1" ht="15.75" thickBot="1">
      <c r="A10" s="2377"/>
      <c r="B10" s="2378" t="s">
        <v>2100</v>
      </c>
      <c r="C10" s="2379" t="s">
        <v>3075</v>
      </c>
      <c r="D10" s="2367"/>
      <c r="E10" s="2367"/>
      <c r="F10" s="1133"/>
      <c r="G10" s="1133"/>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1"/>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1"/>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2101</v>
      </c>
      <c r="B13" s="2384"/>
      <c r="C13" s="2384"/>
      <c r="D13" s="2391"/>
      <c r="E13" s="2384"/>
      <c r="F13" s="2384"/>
      <c r="G13" s="2384"/>
    </row>
    <row r="14" spans="1:29" ht="15.75" thickBot="1">
      <c r="A14" s="2395"/>
      <c r="B14" s="2396"/>
      <c r="C14" s="2397" t="s">
        <v>2102</v>
      </c>
      <c r="D14" s="2367"/>
      <c r="E14" s="2398"/>
      <c r="F14" s="2398"/>
      <c r="G14" s="2361" t="s">
        <v>2103</v>
      </c>
    </row>
    <row r="15" spans="1:29" ht="57">
      <c r="A15" s="68" t="s">
        <v>2104</v>
      </c>
      <c r="B15" s="1267" t="s">
        <v>2083</v>
      </c>
      <c r="C15" s="2399" t="str">
        <f>C3</f>
        <v>估价对象周边居住用地比例、居住小区规模和社区发展完善程度，综合评价居住社区成熟度一般</v>
      </c>
      <c r="D15" s="2367"/>
      <c r="E15" s="2400" t="s">
        <v>2105</v>
      </c>
      <c r="F15" s="1267" t="s">
        <v>2106</v>
      </c>
      <c r="G15" s="135" t="str">
        <f>G3</f>
        <v>估价对象位于XX开发区，园区建设成熟度XX，产业集聚程度XX</v>
      </c>
    </row>
    <row r="16" spans="1:29" ht="42.75">
      <c r="A16" s="645"/>
      <c r="B16" s="2401" t="s">
        <v>2087</v>
      </c>
      <c r="C16" s="2402" t="str">
        <f>C4</f>
        <v>估价对象位于XX商圈，周边商业氛围成熟，人流量大，商业繁华度好</v>
      </c>
      <c r="D16" s="2367"/>
      <c r="E16" s="2403"/>
      <c r="F16" s="2404" t="s">
        <v>2089</v>
      </c>
      <c r="G16" s="136" t="str">
        <f>G4</f>
        <v>估价对象周边道路状况、公共交通通达情况、停车便捷程度，综合评价交通便捷度较好</v>
      </c>
    </row>
    <row r="17" spans="1:18" ht="15">
      <c r="A17" s="645"/>
      <c r="B17" s="2401" t="s">
        <v>2091</v>
      </c>
      <c r="C17" s="2402" t="str">
        <f>C5</f>
        <v>较好</v>
      </c>
      <c r="D17" s="2373"/>
      <c r="E17" s="2403"/>
      <c r="F17" s="2404" t="s">
        <v>2107</v>
      </c>
      <c r="G17" s="1569"/>
    </row>
    <row r="18" spans="1:18" ht="42.75">
      <c r="A18" s="645"/>
      <c r="B18" s="2404" t="s">
        <v>2094</v>
      </c>
      <c r="C18" s="136" t="str">
        <f>C6</f>
        <v>较好</v>
      </c>
      <c r="D18" s="2373"/>
      <c r="E18" s="2403"/>
      <c r="F18" s="2404" t="s">
        <v>2097</v>
      </c>
      <c r="G18" s="136" t="str">
        <f>G7</f>
        <v>该园区内是否有污染型企业，绿化情况，卫生条件，整体环境状况判断</v>
      </c>
    </row>
    <row r="19" spans="1:18" ht="28.5">
      <c r="A19" s="645"/>
      <c r="B19" s="2404" t="s">
        <v>2108</v>
      </c>
      <c r="C19" s="1569"/>
      <c r="D19" s="2367"/>
      <c r="E19" s="2403"/>
      <c r="F19" s="1795" t="s">
        <v>2092</v>
      </c>
      <c r="G19" s="136" t="str">
        <f>G5</f>
        <v>估价对象所在区域公共配套设施齐备情况</v>
      </c>
    </row>
    <row r="20" spans="1:18" ht="15">
      <c r="A20" s="645"/>
      <c r="B20" s="2404" t="s">
        <v>2109</v>
      </c>
      <c r="C20" s="2402" t="str">
        <f>C9</f>
        <v>较好</v>
      </c>
      <c r="D20" s="2373"/>
      <c r="E20" s="2403"/>
      <c r="F20" s="1795" t="s">
        <v>2110</v>
      </c>
      <c r="G20" s="136" t="str">
        <f>G6</f>
        <v>估价对象所在区域基础设施水平</v>
      </c>
    </row>
    <row r="21" spans="1:18" ht="15">
      <c r="A21" s="645"/>
      <c r="B21" s="1795" t="s">
        <v>2092</v>
      </c>
      <c r="C21" s="136" t="str">
        <f>C7</f>
        <v>较好</v>
      </c>
      <c r="D21" s="2367"/>
      <c r="E21" s="2403"/>
      <c r="F21" s="2404" t="s">
        <v>2111</v>
      </c>
      <c r="G21" s="2405"/>
    </row>
    <row r="22" spans="1:18" ht="13.5" customHeight="1">
      <c r="A22" s="645"/>
      <c r="B22" s="1795" t="s">
        <v>2095</v>
      </c>
      <c r="C22" s="136" t="str">
        <f>C8</f>
        <v>七通</v>
      </c>
      <c r="D22" s="2367"/>
      <c r="E22" s="2403"/>
      <c r="F22" s="2404" t="s">
        <v>2100</v>
      </c>
      <c r="G22" s="1569"/>
    </row>
    <row r="23" spans="1:18" s="2364" customFormat="1" ht="15.75" thickBot="1">
      <c r="A23" s="645"/>
      <c r="B23" s="2404" t="s">
        <v>2111</v>
      </c>
      <c r="C23" s="2405"/>
      <c r="D23" s="2392"/>
      <c r="E23" s="2406"/>
      <c r="F23" s="2407" t="s">
        <v>2112</v>
      </c>
      <c r="G23" s="2408"/>
      <c r="H23" s="2392"/>
      <c r="I23" s="2393"/>
      <c r="J23" s="2392"/>
      <c r="K23" s="2392"/>
      <c r="L23" s="2393"/>
      <c r="M23" s="2392"/>
      <c r="N23" s="2392"/>
      <c r="O23" s="2393"/>
      <c r="P23" s="2392"/>
      <c r="Q23" s="2392"/>
      <c r="R23" s="2394"/>
    </row>
    <row r="24" spans="1:18" s="2364" customFormat="1" ht="15.75" thickBot="1">
      <c r="A24" s="2409"/>
      <c r="B24" s="2407" t="s">
        <v>2113</v>
      </c>
      <c r="C24" s="137" t="str">
        <f>C10</f>
        <v>城市主干道-中关村大街</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1" sqref="D11"/>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5028.579999999999</v>
      </c>
      <c r="C1" s="1742"/>
      <c r="D1" s="1742"/>
      <c r="E1" s="1742"/>
      <c r="F1" s="1742"/>
      <c r="G1" s="1740"/>
    </row>
    <row r="2" spans="1:10" ht="16.5">
      <c r="A2" s="1743" t="s">
        <v>1349</v>
      </c>
      <c r="B2" s="1743">
        <f>SUM(C14:C23)</f>
        <v>563.73</v>
      </c>
      <c r="C2" s="1742"/>
      <c r="D2" s="1742"/>
      <c r="E2" s="1742"/>
      <c r="F2" s="1742"/>
      <c r="G2" s="1740"/>
    </row>
    <row r="3" spans="1:10" ht="16.5">
      <c r="A3" s="1743" t="s">
        <v>1358</v>
      </c>
      <c r="B3" s="1744">
        <f>项目基本情况!D3</f>
        <v>43774</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17160</v>
      </c>
      <c r="C5" s="1743">
        <f ca="1">ROUND(B5*10000/$B$1,0)</f>
        <v>34125</v>
      </c>
      <c r="D5" s="1743">
        <f ca="1">ROUND(B5*10000/$B$2,0)</f>
        <v>304401</v>
      </c>
      <c r="E5" s="1742"/>
      <c r="F5" s="1740"/>
      <c r="G5" s="1740"/>
    </row>
    <row r="6" spans="1:10" ht="16.5">
      <c r="A6" s="1743" t="s">
        <v>1352</v>
      </c>
      <c r="B6" s="1743">
        <f ca="1">SUM(G14:G23)</f>
        <v>17160</v>
      </c>
      <c r="C6" s="1743">
        <f ca="1">ROUND(B6*10000/$B$1,0)</f>
        <v>34125</v>
      </c>
      <c r="D6" s="1743">
        <f ca="1">ROUND(B6*10000/$B$2,0)</f>
        <v>304401</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5028.579999999999</v>
      </c>
      <c r="C14" s="1741">
        <f>结果表!C118</f>
        <v>563.73</v>
      </c>
      <c r="D14" s="1741">
        <f ca="1">结果表!H118</f>
        <v>17160</v>
      </c>
      <c r="E14" s="1741">
        <f ca="1">ROUND(D14*10000/B14,0)</f>
        <v>34125</v>
      </c>
      <c r="F14" s="1741">
        <f ca="1">ROUND(D14*10000/C14,0)</f>
        <v>304401</v>
      </c>
      <c r="G14" s="1741">
        <f ca="1">结果表!D122</f>
        <v>17160</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26" sqref="H26"/>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2" t="s">
        <v>2114</v>
      </c>
      <c r="B1" s="2415"/>
      <c r="C1" s="2416"/>
      <c r="D1" s="2415"/>
      <c r="E1" s="2415"/>
      <c r="F1" s="2417" t="s">
        <v>2115</v>
      </c>
      <c r="G1" s="2068" t="s">
        <v>3067</v>
      </c>
      <c r="H1" s="2418" t="str">
        <f>IF(G1="现房","——","估价对象范围")</f>
        <v>——</v>
      </c>
      <c r="I1" s="2419"/>
    </row>
    <row r="2" spans="1:12" ht="21.75" customHeight="1" thickBot="1">
      <c r="A2" s="3092" t="str">
        <f>项目基本情况!S2</f>
        <v>北京市海淀区中关村大街18号五层部分综合用房房地产</v>
      </c>
      <c r="B2" s="3093"/>
      <c r="C2" s="3093"/>
      <c r="D2" s="3093"/>
      <c r="E2" s="3093"/>
      <c r="F2" s="3093"/>
      <c r="G2" s="3093"/>
      <c r="H2" s="3093"/>
      <c r="I2" s="3094"/>
    </row>
    <row r="3" spans="1:12" ht="12.75">
      <c r="A3" s="3096" t="s">
        <v>2116</v>
      </c>
      <c r="B3" s="3097"/>
      <c r="C3" s="3097"/>
      <c r="D3" s="3097"/>
      <c r="E3" s="3097"/>
      <c r="F3" s="3097"/>
      <c r="G3" s="3097"/>
      <c r="H3" s="3097"/>
      <c r="I3" s="3097"/>
    </row>
    <row r="4" spans="1:12" ht="14.25">
      <c r="A4" s="2422" t="s">
        <v>2117</v>
      </c>
      <c r="B4" s="2423" t="s">
        <v>2118</v>
      </c>
      <c r="C4" s="2424" t="s">
        <v>3076</v>
      </c>
      <c r="D4" s="2424" t="s">
        <v>3072</v>
      </c>
      <c r="E4" s="3089" t="s">
        <v>2119</v>
      </c>
      <c r="F4" s="3090"/>
      <c r="G4" s="3090"/>
      <c r="H4" s="3090"/>
      <c r="I4" s="3098"/>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072" t="s">
        <v>2120</v>
      </c>
      <c r="B5" s="3010">
        <v>25</v>
      </c>
      <c r="C5" s="3075"/>
      <c r="D5" s="3095"/>
      <c r="E5" s="140" t="s">
        <v>2121</v>
      </c>
      <c r="F5" s="2426"/>
      <c r="G5" s="2426"/>
      <c r="H5" s="2426"/>
      <c r="I5" s="1831"/>
    </row>
    <row r="6" spans="1:12" ht="12.75">
      <c r="A6" s="3072"/>
      <c r="B6" s="3010"/>
      <c r="C6" s="3076"/>
      <c r="D6" s="3095"/>
      <c r="E6" s="140" t="s">
        <v>2122</v>
      </c>
      <c r="F6" s="2426"/>
      <c r="G6" s="2426"/>
      <c r="H6" s="2426"/>
      <c r="I6" s="1831"/>
    </row>
    <row r="7" spans="1:12" ht="12.75">
      <c r="A7" s="3072"/>
      <c r="B7" s="3010"/>
      <c r="C7" s="3077"/>
      <c r="D7" s="3095"/>
      <c r="E7" s="140" t="s">
        <v>2123</v>
      </c>
      <c r="F7" s="2426"/>
      <c r="G7" s="2426"/>
      <c r="H7" s="2426"/>
      <c r="I7" s="1831"/>
    </row>
    <row r="8" spans="1:12" ht="12.75">
      <c r="A8" s="3072" t="s">
        <v>2124</v>
      </c>
      <c r="B8" s="3010">
        <v>15</v>
      </c>
      <c r="C8" s="3075"/>
      <c r="D8" s="3095"/>
      <c r="E8" s="140" t="s">
        <v>2125</v>
      </c>
      <c r="F8" s="2426"/>
      <c r="G8" s="2426"/>
      <c r="H8" s="2426"/>
      <c r="I8" s="1831"/>
    </row>
    <row r="9" spans="1:12" ht="12.75">
      <c r="A9" s="3072"/>
      <c r="B9" s="3010"/>
      <c r="C9" s="3077"/>
      <c r="D9" s="3095"/>
      <c r="E9" s="140" t="s">
        <v>2126</v>
      </c>
      <c r="F9" s="2426"/>
      <c r="G9" s="2426"/>
      <c r="H9" s="2426"/>
      <c r="I9" s="1831"/>
    </row>
    <row r="10" spans="1:12" ht="12.75">
      <c r="A10" s="3072" t="s">
        <v>2127</v>
      </c>
      <c r="B10" s="3010">
        <v>15</v>
      </c>
      <c r="C10" s="3075"/>
      <c r="D10" s="3095"/>
      <c r="E10" s="140" t="s">
        <v>2128</v>
      </c>
      <c r="F10" s="2426"/>
      <c r="G10" s="2426"/>
      <c r="H10" s="2426"/>
      <c r="I10" s="1831"/>
    </row>
    <row r="11" spans="1:12" ht="12.75">
      <c r="A11" s="3072"/>
      <c r="B11" s="3010"/>
      <c r="C11" s="3077"/>
      <c r="D11" s="3095"/>
      <c r="E11" s="140" t="s">
        <v>2129</v>
      </c>
      <c r="F11" s="2426"/>
      <c r="G11" s="2426"/>
      <c r="H11" s="2426"/>
      <c r="I11" s="1831"/>
    </row>
    <row r="12" spans="1:12" ht="12.75">
      <c r="A12" s="3072" t="s">
        <v>2130</v>
      </c>
      <c r="B12" s="3010">
        <v>15</v>
      </c>
      <c r="C12" s="3075"/>
      <c r="D12" s="3095"/>
      <c r="E12" s="140" t="s">
        <v>2131</v>
      </c>
      <c r="F12" s="2426"/>
      <c r="G12" s="2426"/>
      <c r="H12" s="2426"/>
      <c r="I12" s="1831"/>
    </row>
    <row r="13" spans="1:12" ht="12.75">
      <c r="A13" s="3072"/>
      <c r="B13" s="3010"/>
      <c r="C13" s="3077"/>
      <c r="D13" s="3095"/>
      <c r="E13" s="140" t="s">
        <v>2132</v>
      </c>
      <c r="F13" s="2426"/>
      <c r="G13" s="2426"/>
      <c r="H13" s="2426"/>
      <c r="I13" s="1831"/>
    </row>
    <row r="14" spans="1:12" ht="12.75">
      <c r="A14" s="3072" t="s">
        <v>2133</v>
      </c>
      <c r="B14" s="3010">
        <v>30</v>
      </c>
      <c r="C14" s="3075">
        <v>5</v>
      </c>
      <c r="D14" s="3095">
        <v>5</v>
      </c>
      <c r="E14" s="140" t="s">
        <v>2134</v>
      </c>
      <c r="F14" s="2426"/>
      <c r="G14" s="2426"/>
      <c r="H14" s="2426"/>
      <c r="I14" s="1831"/>
    </row>
    <row r="15" spans="1:12" ht="12.75">
      <c r="A15" s="3072"/>
      <c r="B15" s="3010"/>
      <c r="C15" s="3076"/>
      <c r="D15" s="3095"/>
      <c r="E15" s="140" t="s">
        <v>2135</v>
      </c>
      <c r="F15" s="2426"/>
      <c r="G15" s="2426"/>
      <c r="H15" s="2426"/>
      <c r="I15" s="1831"/>
    </row>
    <row r="16" spans="1:12" ht="12.75">
      <c r="A16" s="3072"/>
      <c r="B16" s="3010"/>
      <c r="C16" s="3077"/>
      <c r="D16" s="3095"/>
      <c r="E16" s="140" t="s">
        <v>2136</v>
      </c>
      <c r="F16" s="2426"/>
      <c r="G16" s="2426"/>
      <c r="H16" s="2426"/>
      <c r="I16" s="1831"/>
    </row>
    <row r="17" spans="1:35" ht="15">
      <c r="A17" s="2427" t="s">
        <v>2137</v>
      </c>
      <c r="B17" s="64"/>
      <c r="C17" s="141">
        <f>SUM(C5:C16)</f>
        <v>5</v>
      </c>
      <c r="D17" s="141">
        <f>SUM(D5:D16)</f>
        <v>5</v>
      </c>
      <c r="E17" s="138"/>
      <c r="F17" s="138"/>
      <c r="G17" s="138"/>
      <c r="H17" s="138"/>
      <c r="I17" s="138"/>
      <c r="K17" s="2425"/>
      <c r="L17" s="2428" t="s">
        <v>2138</v>
      </c>
      <c r="M17" s="2428" t="s">
        <v>2139</v>
      </c>
    </row>
    <row r="18" spans="1:35" ht="15.75" thickBot="1">
      <c r="A18" s="2429" t="s">
        <v>2140</v>
      </c>
      <c r="B18" s="2430"/>
      <c r="C18" s="142">
        <f>ROUND(C17/SUM(C17:D17),2)</f>
        <v>0.5</v>
      </c>
      <c r="D18" s="142">
        <f>1-C18</f>
        <v>0.5</v>
      </c>
      <c r="E18" s="138"/>
      <c r="F18" s="138"/>
      <c r="G18" s="138"/>
      <c r="H18" s="138"/>
      <c r="I18" s="138"/>
      <c r="K18" s="2425" t="s">
        <v>2141</v>
      </c>
      <c r="L18" s="2425">
        <f>IF(C1="",'数据-汇总表'!E3,SUMIF(项目类型,C1,'数据-汇总表'!E17:E26)+SUMIF(项目类型,C1,'数据-汇总表'!I17:I26))</f>
        <v>5028.579999999999</v>
      </c>
      <c r="M18" s="2425">
        <f>IF(C1="",'数据-汇总表'!E3,SUMIF(项目类型,C1,'数据-汇总表'!E17:E26))</f>
        <v>5028.579999999999</v>
      </c>
    </row>
    <row r="19" spans="1:35" ht="15">
      <c r="A19" s="2431" t="s">
        <v>2142</v>
      </c>
      <c r="B19" s="2432" t="s">
        <v>2143</v>
      </c>
      <c r="C19" s="143">
        <f ca="1">SUMIF(INDIRECT("'"&amp;C4&amp;"'"&amp;"!A:A"),结果表!B19,INDIRECT("'"&amp;C4&amp;"'"&amp;"!B:B"))</f>
        <v>18779</v>
      </c>
      <c r="D19" s="144">
        <f ca="1">SUMIF(INDIRECT("'"&amp;D4&amp;"'"&amp;"!A:A"),结果表!B19,INDIRECT("'"&amp;D4&amp;"'"&amp;"!B:B"))</f>
        <v>15540</v>
      </c>
      <c r="E19" s="2431" t="s">
        <v>2144</v>
      </c>
      <c r="F19" s="2432" t="s">
        <v>2143</v>
      </c>
      <c r="G19" s="145">
        <f ca="1">ROUND(C19*$C$18+D19*$D$18,0)</f>
        <v>17160</v>
      </c>
      <c r="H19" s="2433" t="s">
        <v>2145</v>
      </c>
      <c r="I19" s="138"/>
      <c r="K19" s="2425" t="s">
        <v>2146</v>
      </c>
      <c r="L19" s="2425">
        <f>IF(C1="",'数据-汇总表'!D3,SUMIF(项目类型,C1,'数据-汇总表'!D17:D26)+SUMIF(项目类型,C1,'数据-汇总表'!H17:H27))</f>
        <v>563.73</v>
      </c>
      <c r="M19" s="2425">
        <f>IF(C1="",'数据-汇总表'!D3,SUMIF(项目类型,C1,'数据-汇总表'!D17:D26))</f>
        <v>563.73</v>
      </c>
    </row>
    <row r="20" spans="1:35" ht="15">
      <c r="A20" s="2434"/>
      <c r="B20" s="1247" t="s">
        <v>2147</v>
      </c>
      <c r="C20" s="146">
        <f ca="1">SUMIF(INDIRECT("'"&amp;C4&amp;"'"&amp;"!A:A"),结果表!B20,INDIRECT("'"&amp;C4&amp;"'"&amp;"!B:B"))</f>
        <v>37345</v>
      </c>
      <c r="D20" s="147">
        <f ca="1">SUMIF(INDIRECT("'"&amp;D4&amp;"'"&amp;"!A:A"),结果表!B20,INDIRECT("'"&amp;D4&amp;"'"&amp;"!B:B"))</f>
        <v>30903</v>
      </c>
      <c r="E20" s="2434"/>
      <c r="F20" s="1247" t="s">
        <v>2147</v>
      </c>
      <c r="G20" s="148">
        <f ca="1">ROUND(C20*$C$18+D20*$D$18,0)</f>
        <v>34124</v>
      </c>
      <c r="H20" s="980" t="s">
        <v>2148</v>
      </c>
      <c r="I20" s="138"/>
    </row>
    <row r="21" spans="1:35" ht="15" customHeight="1" thickBot="1">
      <c r="A21" s="1000"/>
      <c r="B21" s="2435" t="s">
        <v>2149</v>
      </c>
      <c r="C21" s="789">
        <f ca="1">ROUND(C19*10000/L19,0)</f>
        <v>333120</v>
      </c>
      <c r="D21" s="790">
        <f ca="1">ROUND(D19*10000/L19,0)</f>
        <v>275664</v>
      </c>
      <c r="E21" s="1000"/>
      <c r="F21" s="2435" t="s">
        <v>2149</v>
      </c>
      <c r="G21" s="149">
        <f ca="1">ROUND(G19*10000/L19,0)</f>
        <v>304401</v>
      </c>
      <c r="H21" s="2436" t="s">
        <v>2148</v>
      </c>
      <c r="I21" s="138"/>
    </row>
    <row r="22" spans="1:35" ht="15" thickBot="1">
      <c r="A22" s="2278" t="s">
        <v>2150</v>
      </c>
      <c r="B22" s="2437"/>
      <c r="C22" s="2438"/>
      <c r="D22" s="791">
        <f ca="1">IF(C19&lt;D19,D19/C19-1,C19/D19-1)</f>
        <v>0.20842985842985851</v>
      </c>
      <c r="E22" s="138"/>
      <c r="F22" s="138"/>
      <c r="G22" s="138"/>
      <c r="H22" s="138"/>
      <c r="I22" s="138"/>
    </row>
    <row r="23" spans="1:35" ht="13.5" thickBot="1">
      <c r="A23" s="2415"/>
      <c r="B23" s="2415"/>
      <c r="C23" s="2415"/>
      <c r="D23" s="2415"/>
      <c r="E23" s="138"/>
      <c r="F23" s="138"/>
      <c r="G23" s="138"/>
      <c r="H23" s="138"/>
      <c r="I23" s="138"/>
    </row>
    <row r="24" spans="1:35" ht="14.25">
      <c r="A24" s="3066" t="s">
        <v>2151</v>
      </c>
      <c r="B24" s="2432" t="s">
        <v>2143</v>
      </c>
      <c r="C24" s="145">
        <f>IF(B30=0,0,D30)</f>
        <v>0</v>
      </c>
      <c r="D24" s="2439"/>
      <c r="E24" s="138"/>
      <c r="F24" s="138"/>
      <c r="G24" s="138"/>
      <c r="H24" s="138"/>
      <c r="I24" s="138"/>
    </row>
    <row r="25" spans="1:35" ht="14.25">
      <c r="A25" s="3067"/>
      <c r="B25" s="1247" t="s">
        <v>2147</v>
      </c>
      <c r="C25" s="150">
        <f>IF(B30=0,0,C30)</f>
        <v>0</v>
      </c>
      <c r="D25" s="2440"/>
      <c r="E25" s="138"/>
      <c r="F25" s="138"/>
      <c r="G25" s="138"/>
      <c r="H25" s="138"/>
      <c r="I25" s="138"/>
    </row>
    <row r="26" spans="1:35" ht="13.5" customHeight="1">
      <c r="A26" s="2441" t="s">
        <v>2152</v>
      </c>
      <c r="B26" s="151" t="s">
        <v>2153</v>
      </c>
      <c r="C26" s="151" t="s">
        <v>2154</v>
      </c>
      <c r="D26" s="152" t="s">
        <v>2155</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2156</v>
      </c>
      <c r="B30" s="151"/>
      <c r="C30" s="151"/>
      <c r="D30" s="151"/>
      <c r="E30" s="2914" t="s">
        <v>3032</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2157</v>
      </c>
      <c r="B32" s="2445"/>
      <c r="C32" s="153">
        <f ca="1">IF(D32="总价",G19-C24,G20-C25)</f>
        <v>17160</v>
      </c>
      <c r="D32" s="2446" t="s">
        <v>2158</v>
      </c>
      <c r="E32" s="138"/>
      <c r="F32" s="138"/>
      <c r="G32" s="138"/>
      <c r="H32" s="138"/>
      <c r="I32" s="138"/>
    </row>
    <row r="33" spans="1:15" ht="15">
      <c r="A33" s="957" t="s">
        <v>2159</v>
      </c>
      <c r="B33" s="2447"/>
      <c r="C33" s="2448" t="s">
        <v>3077</v>
      </c>
      <c r="D33" s="2449" t="s">
        <v>3076</v>
      </c>
      <c r="E33" s="2450" t="s">
        <v>2160</v>
      </c>
      <c r="F33" s="2451" t="str">
        <f>IF(D32="楼面单价","取值（单价）","取值（总价）")</f>
        <v>取值（总价）</v>
      </c>
      <c r="G33" s="138"/>
      <c r="H33" s="138"/>
      <c r="I33" s="138"/>
    </row>
    <row r="34" spans="1:15" ht="15">
      <c r="A34" s="2452"/>
      <c r="B34" s="2453" t="s">
        <v>2161</v>
      </c>
      <c r="C34" s="157">
        <f ca="1">IF(C33="自定义",F34,C32-C35)</f>
        <v>15633</v>
      </c>
      <c r="D34" s="1055">
        <f ca="1">IF(C33="自定义",ROUND(C34/C32,3),IF(C33="收益比率",SUMIF(INDIRECT("'"&amp;D33&amp;"'"&amp;"!b:b"),"土地收益比率",INDIRECT("'"&amp;D33&amp;"'"&amp;"!c:c")),SUMIF(INDIRECT("'"&amp;D33&amp;"'"&amp;"!b:b"),"土地成本比率",INDIRECT("'"&amp;D33&amp;"'"&amp;"!c:c"))))</f>
        <v>0.91100000000000003</v>
      </c>
      <c r="E34" s="2454" t="s">
        <v>2162</v>
      </c>
      <c r="F34" s="1736"/>
      <c r="G34" s="138"/>
      <c r="H34" s="138"/>
      <c r="I34" s="138"/>
    </row>
    <row r="35" spans="1:15" ht="15.75" thickBot="1">
      <c r="A35" s="2455"/>
      <c r="B35" s="2456" t="s">
        <v>2163</v>
      </c>
      <c r="C35" s="1441">
        <f ca="1">IF(C33="自定义",F35,ROUND(C32*D35,0))</f>
        <v>1527</v>
      </c>
      <c r="D35" s="1442">
        <f ca="1">IF(C33="自定义",ROUND(C35/C32,3),IF(C33="收益比率",SUMIF(INDIRECT("'"&amp;D33&amp;"'"&amp;"!b:b"),"建筑物收益比率",INDIRECT("'"&amp;D33&amp;"'"&amp;"!c:c")),SUMIF(INDIRECT("'"&amp;D33&amp;"'"&amp;"!b:b"),"建筑物成本比率",INDIRECT("'"&amp;D33&amp;"'"&amp;"!c:c"))))</f>
        <v>8.8999999999999996E-2</v>
      </c>
      <c r="E35" s="2457" t="s">
        <v>2164</v>
      </c>
      <c r="F35" s="163"/>
      <c r="G35" s="138"/>
      <c r="H35" s="138"/>
      <c r="I35" s="138"/>
    </row>
    <row r="36" spans="1:15" ht="15.75" thickBot="1">
      <c r="A36" s="3084" t="s">
        <v>2165</v>
      </c>
      <c r="B36" s="2458" t="s">
        <v>2166</v>
      </c>
      <c r="C36" s="154"/>
      <c r="D36" s="2459"/>
      <c r="E36" s="2460"/>
      <c r="F36" s="2461"/>
      <c r="G36" s="138"/>
      <c r="H36" s="138"/>
      <c r="I36" s="138"/>
    </row>
    <row r="37" spans="1:15" ht="15.75" thickBot="1">
      <c r="A37" s="3085"/>
      <c r="B37" s="2264" t="s">
        <v>2167</v>
      </c>
      <c r="C37" s="156"/>
      <c r="D37" s="1392"/>
      <c r="E37" s="1392"/>
      <c r="F37" s="2461"/>
      <c r="G37" s="138"/>
      <c r="H37" s="138"/>
      <c r="I37" s="138"/>
    </row>
    <row r="38" spans="1:15" ht="15.75" thickBot="1">
      <c r="A38" s="3086"/>
      <c r="B38" s="2462" t="s">
        <v>2168</v>
      </c>
      <c r="C38" s="727"/>
      <c r="D38" s="2463" t="s">
        <v>2169</v>
      </c>
      <c r="E38" s="1392"/>
      <c r="F38" s="2461"/>
      <c r="G38" s="138"/>
      <c r="H38" s="138"/>
      <c r="I38" s="138"/>
    </row>
    <row r="39" spans="1:15" ht="15">
      <c r="A39" s="2434" t="s">
        <v>2170</v>
      </c>
      <c r="B39" s="2464" t="s">
        <v>2171</v>
      </c>
      <c r="C39" s="2465" t="s">
        <v>2172</v>
      </c>
      <c r="D39" s="2465" t="s">
        <v>2173</v>
      </c>
      <c r="E39" s="2466" t="s">
        <v>2174</v>
      </c>
      <c r="F39" s="2461"/>
      <c r="G39" s="138"/>
      <c r="H39" s="138"/>
      <c r="I39" s="138"/>
    </row>
    <row r="40" spans="1:15" ht="14.25">
      <c r="A40" s="2467" t="s">
        <v>2175</v>
      </c>
      <c r="B40" s="158"/>
      <c r="C40" s="159"/>
      <c r="D40" s="159"/>
      <c r="E40" s="160"/>
      <c r="F40" s="2461"/>
      <c r="G40" s="138"/>
      <c r="H40" s="138"/>
      <c r="I40" s="138"/>
    </row>
    <row r="41" spans="1:15" ht="14.25">
      <c r="A41" s="2467" t="s">
        <v>2176</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3"/>
      <c r="B43" s="2163"/>
      <c r="C43" s="2163"/>
      <c r="D43" s="2163"/>
      <c r="E43" s="2163"/>
      <c r="F43" s="2469"/>
      <c r="G43" s="2469"/>
      <c r="H43" s="2469"/>
      <c r="I43" s="2470"/>
    </row>
    <row r="44" spans="1:15" ht="18.75">
      <c r="A44" s="2471" t="s">
        <v>2177</v>
      </c>
      <c r="B44" s="2472"/>
      <c r="C44" s="2472"/>
      <c r="D44" s="2473"/>
      <c r="E44" s="2473"/>
      <c r="F44" s="2474"/>
      <c r="G44" s="2474"/>
      <c r="H44" s="2474"/>
      <c r="I44" s="2474"/>
      <c r="J44" s="2475" t="s">
        <v>2178</v>
      </c>
      <c r="K44" s="2476"/>
      <c r="L44" s="2476"/>
      <c r="M44" s="2476"/>
      <c r="N44" s="2476"/>
      <c r="O44" s="2476"/>
    </row>
    <row r="45" spans="1:15" ht="14.25" customHeight="1" thickBot="1">
      <c r="A45" s="3063" t="s">
        <v>2179</v>
      </c>
      <c r="B45" s="3064"/>
      <c r="C45" s="3065"/>
      <c r="D45" s="164">
        <f ca="1">ROUND(H101*F45,0)</f>
        <v>17160</v>
      </c>
      <c r="E45" s="165" t="s">
        <v>2180</v>
      </c>
      <c r="F45" s="166">
        <v>1</v>
      </c>
      <c r="G45" s="167" t="s">
        <v>2181</v>
      </c>
      <c r="H45" s="138"/>
      <c r="I45" s="138"/>
      <c r="J45" s="3123" t="s">
        <v>2182</v>
      </c>
      <c r="K45" s="3123"/>
      <c r="L45" s="3123"/>
      <c r="M45" s="3123"/>
      <c r="N45" s="3123"/>
      <c r="O45" s="3123"/>
    </row>
    <row r="46" spans="1:15" ht="14.25" customHeight="1">
      <c r="A46" s="3060" t="s">
        <v>2183</v>
      </c>
      <c r="B46" s="3061"/>
      <c r="C46" s="3061"/>
      <c r="D46" s="3061"/>
      <c r="E46" s="3061"/>
      <c r="F46" s="3061"/>
      <c r="G46" s="3062"/>
      <c r="H46" s="2477"/>
      <c r="I46" s="168"/>
      <c r="J46" s="1809">
        <v>1</v>
      </c>
      <c r="K46" s="3123" t="s">
        <v>2184</v>
      </c>
      <c r="L46" s="3123"/>
      <c r="M46" s="3143"/>
      <c r="N46" s="3143"/>
      <c r="O46" s="3143"/>
    </row>
    <row r="47" spans="1:15" ht="12" customHeight="1">
      <c r="A47" s="169" t="s">
        <v>2185</v>
      </c>
      <c r="B47" s="170"/>
      <c r="C47" s="171"/>
      <c r="D47" s="172" t="s">
        <v>2186</v>
      </c>
      <c r="E47" s="24" t="s">
        <v>2187</v>
      </c>
      <c r="F47" s="173" t="s">
        <v>2188</v>
      </c>
      <c r="G47" s="174" t="s">
        <v>2189</v>
      </c>
      <c r="H47" s="2477"/>
      <c r="I47" s="168"/>
      <c r="J47" s="1809">
        <v>2</v>
      </c>
      <c r="K47" s="3123" t="s">
        <v>2190</v>
      </c>
      <c r="L47" s="3123"/>
      <c r="M47" s="3144">
        <f>'数据-取费表'!B2</f>
        <v>43774</v>
      </c>
      <c r="N47" s="3144"/>
      <c r="O47" s="3144"/>
    </row>
    <row r="48" spans="1:15" ht="25.5">
      <c r="A48" s="3091" t="s">
        <v>2191</v>
      </c>
      <c r="B48" s="3074"/>
      <c r="C48" s="3074"/>
      <c r="D48" s="140">
        <f>IF(H48="情况1",0,IF(H48="情况2",D52,IF(H48="情况3",D53,IF(H48="情况4",D54))))</f>
        <v>0</v>
      </c>
      <c r="E48" s="1798" t="str">
        <f>IF(H48="情况4","(销售额-原购置价)×税（费）率","销售额×税（费）率")</f>
        <v>销售额×税（费）率</v>
      </c>
      <c r="F48" s="175" t="str">
        <f>IF(H48="情况1","免征",'数据-取费表'!B41)</f>
        <v>免征</v>
      </c>
      <c r="G48" s="2478" t="s">
        <v>2192</v>
      </c>
      <c r="H48" s="2479" t="s">
        <v>2193</v>
      </c>
      <c r="I48" s="2477"/>
      <c r="J48" s="1809">
        <v>3</v>
      </c>
      <c r="K48" s="3123" t="s">
        <v>2194</v>
      </c>
      <c r="L48" s="3123"/>
      <c r="M48" s="3145">
        <f ca="1">H101</f>
        <v>17160</v>
      </c>
      <c r="N48" s="3145"/>
      <c r="O48" s="3145"/>
    </row>
    <row r="49" spans="1:35" ht="25.5" customHeight="1">
      <c r="A49" s="176" t="s">
        <v>2195</v>
      </c>
      <c r="B49" s="3059" t="s">
        <v>2196</v>
      </c>
      <c r="C49" s="3059"/>
      <c r="D49" s="177">
        <v>0</v>
      </c>
      <c r="E49" s="23" t="s">
        <v>2197</v>
      </c>
      <c r="F49" s="28" t="s">
        <v>34</v>
      </c>
      <c r="G49" s="3129"/>
      <c r="H49" s="138"/>
      <c r="I49" s="2480"/>
      <c r="J49" s="1809">
        <v>4</v>
      </c>
      <c r="K49" s="3123" t="str">
        <f>IF(项目基本情况!E8="房地产抵押价值","房地产抵押价值","抵押担保权已注销时的房地产抵押价值")</f>
        <v>房地产抵押价值</v>
      </c>
      <c r="L49" s="3123"/>
      <c r="M49" s="3145">
        <f ca="1">IF(项目基本情况!E8="房地产抵押价值",H107,H109)</f>
        <v>17160</v>
      </c>
      <c r="N49" s="3145"/>
      <c r="O49" s="3145"/>
    </row>
    <row r="50" spans="1:35" ht="25.5" customHeight="1">
      <c r="A50" s="178"/>
      <c r="B50" s="3059" t="s">
        <v>2198</v>
      </c>
      <c r="C50" s="3059"/>
      <c r="D50" s="179"/>
      <c r="E50" s="31"/>
      <c r="F50" s="180"/>
      <c r="G50" s="3130"/>
      <c r="H50" s="138"/>
      <c r="I50" s="2480"/>
      <c r="J50" s="3123" t="s">
        <v>2199</v>
      </c>
      <c r="K50" s="3123"/>
      <c r="L50" s="3123"/>
      <c r="M50" s="3123"/>
      <c r="N50" s="3123"/>
      <c r="O50" s="3123"/>
    </row>
    <row r="51" spans="1:35" ht="12" customHeight="1">
      <c r="A51" s="181"/>
      <c r="B51" s="3059" t="s">
        <v>2200</v>
      </c>
      <c r="C51" s="3059"/>
      <c r="D51" s="182"/>
      <c r="E51" s="30"/>
      <c r="F51" s="180"/>
      <c r="G51" s="3131"/>
      <c r="H51" s="138"/>
      <c r="I51" s="2480"/>
      <c r="J51" s="2481" t="s">
        <v>2201</v>
      </c>
      <c r="K51" s="3123" t="s">
        <v>2202</v>
      </c>
      <c r="L51" s="3123"/>
      <c r="M51" s="2481" t="s">
        <v>2203</v>
      </c>
      <c r="N51" s="2481" t="s">
        <v>2204</v>
      </c>
      <c r="O51" s="2481" t="s">
        <v>2205</v>
      </c>
    </row>
    <row r="52" spans="1:35" ht="24" customHeight="1">
      <c r="A52" s="183" t="s">
        <v>2206</v>
      </c>
      <c r="B52" s="3059" t="s">
        <v>2207</v>
      </c>
      <c r="C52" s="3059"/>
      <c r="D52" s="182">
        <f ca="1">ROUND(D45*'数据-取费表'!B41/(1+'数据-取费表'!C42),0)</f>
        <v>915</v>
      </c>
      <c r="E52" s="11" t="s">
        <v>2208</v>
      </c>
      <c r="F52" s="184">
        <f>'数据-取费表'!B41</f>
        <v>5.6000000000000001E-2</v>
      </c>
      <c r="G52" s="2482"/>
      <c r="H52" s="138"/>
      <c r="I52" s="2480"/>
      <c r="J52" s="1809">
        <v>1</v>
      </c>
      <c r="K52" s="3124" t="s">
        <v>2209</v>
      </c>
      <c r="L52" s="3124"/>
      <c r="M52" s="1751">
        <f>D48</f>
        <v>0</v>
      </c>
      <c r="N52" s="1809" t="str">
        <f>E48</f>
        <v>销售额×税（费）率</v>
      </c>
      <c r="O52" s="1752" t="str">
        <f>F48</f>
        <v>免征</v>
      </c>
    </row>
    <row r="53" spans="1:35" ht="12" customHeight="1">
      <c r="A53" s="183" t="s">
        <v>2210</v>
      </c>
      <c r="B53" s="3082" t="s">
        <v>2211</v>
      </c>
      <c r="C53" s="3083"/>
      <c r="D53" s="182">
        <f ca="1">ROUND(D45*'数据-取费表'!B41/(1+'数据-取费表'!C42),0)</f>
        <v>915</v>
      </c>
      <c r="E53" s="11" t="s">
        <v>2208</v>
      </c>
      <c r="F53" s="184">
        <f>'数据-取费表'!B41</f>
        <v>5.6000000000000001E-2</v>
      </c>
      <c r="G53" s="2482"/>
      <c r="H53" s="138"/>
      <c r="I53" s="2480"/>
      <c r="J53" s="1809">
        <v>2</v>
      </c>
      <c r="K53" s="3124" t="s">
        <v>2212</v>
      </c>
      <c r="L53" s="3124"/>
      <c r="M53" s="1751">
        <f t="shared" ref="M53:O54" ca="1" si="0">D55</f>
        <v>9</v>
      </c>
      <c r="N53" s="1809" t="str">
        <f t="shared" si="0"/>
        <v>销售额×税（费）率</v>
      </c>
      <c r="O53" s="1752">
        <f t="shared" si="0"/>
        <v>5.0000000000000001E-4</v>
      </c>
    </row>
    <row r="54" spans="1:35" ht="12" customHeight="1">
      <c r="A54" s="183" t="s">
        <v>2213</v>
      </c>
      <c r="B54" s="3082" t="s">
        <v>2214</v>
      </c>
      <c r="C54" s="3083"/>
      <c r="D54" s="182">
        <f ca="1">C68</f>
        <v>915</v>
      </c>
      <c r="E54" s="30" t="s">
        <v>2215</v>
      </c>
      <c r="F54" s="184">
        <f>'数据-取费表'!B41</f>
        <v>5.6000000000000001E-2</v>
      </c>
      <c r="G54" s="2482"/>
      <c r="H54" s="2483"/>
      <c r="I54" s="2480"/>
      <c r="J54" s="1809">
        <v>3</v>
      </c>
      <c r="K54" s="3124" t="s">
        <v>2216</v>
      </c>
      <c r="L54" s="3124"/>
      <c r="M54" s="1751">
        <f t="shared" ca="1" si="0"/>
        <v>9713</v>
      </c>
      <c r="N54" s="1809" t="str">
        <f t="shared" si="0"/>
        <v>增值额×税（费）率</v>
      </c>
      <c r="O54" s="1753" t="str">
        <f t="shared" si="0"/>
        <v>——</v>
      </c>
    </row>
    <row r="55" spans="1:35" ht="24" customHeight="1">
      <c r="A55" s="3073" t="s">
        <v>2217</v>
      </c>
      <c r="B55" s="3074"/>
      <c r="C55" s="3074"/>
      <c r="D55" s="185">
        <f ca="1">IF(H55="个人住宅",0,ROUND(D45*I55,0))</f>
        <v>9</v>
      </c>
      <c r="E55" s="11" t="s">
        <v>2218</v>
      </c>
      <c r="F55" s="184">
        <f>IF(H55="正常",I55,"免征")</f>
        <v>5.0000000000000001E-4</v>
      </c>
      <c r="G55" s="2482"/>
      <c r="H55" s="2479" t="s">
        <v>2219</v>
      </c>
      <c r="I55" s="186">
        <f>'数据-取费表'!B49</f>
        <v>5.0000000000000001E-4</v>
      </c>
      <c r="J55" s="1809" t="str">
        <f>IF(H59="非个人房产","",4)</f>
        <v/>
      </c>
      <c r="K55" s="3124" t="str">
        <f>IF(H59="非个人房产","——","个人所得税")</f>
        <v>——</v>
      </c>
      <c r="L55" s="3124"/>
      <c r="M55" s="1754" t="str">
        <f>D59</f>
        <v>——</v>
      </c>
      <c r="N55" s="1807" t="str">
        <f>E59</f>
        <v>——</v>
      </c>
      <c r="O55" s="1755" t="str">
        <f>F59</f>
        <v>——</v>
      </c>
    </row>
    <row r="56" spans="1:35" ht="24.75">
      <c r="A56" s="3073" t="s">
        <v>2220</v>
      </c>
      <c r="B56" s="3074"/>
      <c r="C56" s="3074"/>
      <c r="D56" s="185">
        <f ca="1">IF(H56="个人住宅",D57,D58)</f>
        <v>9713</v>
      </c>
      <c r="E56" s="11" t="s">
        <v>2221</v>
      </c>
      <c r="F56" s="184" t="str">
        <f>IF(H56="正常",F58,"免征")</f>
        <v>——</v>
      </c>
      <c r="G56" s="2484" t="s">
        <v>2222</v>
      </c>
      <c r="H56" s="2485" t="s">
        <v>2219</v>
      </c>
      <c r="I56" s="2486"/>
      <c r="J56" s="1809" t="str">
        <f>IF(项目基本情况!K6="上海银行",IF(J55="",4,J55+1),"")</f>
        <v/>
      </c>
      <c r="K56" s="3147" t="str">
        <f>IF(项目基本情况!K6="上海银行","其他处置费用","")</f>
        <v/>
      </c>
      <c r="L56" s="3148"/>
      <c r="M56" s="1751" t="str">
        <f>IF(项目基本情况!K6="上海银行",M69,"")</f>
        <v/>
      </c>
      <c r="N56" s="3150" t="str">
        <f>IF(项目基本情况!K6="上海银行","包含处置中涉及的律师、诉讼、拍卖、评估等费用","")</f>
        <v/>
      </c>
      <c r="O56" s="3151"/>
    </row>
    <row r="57" spans="1:35" ht="12.75">
      <c r="A57" s="183" t="s">
        <v>2195</v>
      </c>
      <c r="B57" s="3089" t="s">
        <v>2223</v>
      </c>
      <c r="C57" s="3098"/>
      <c r="D57" s="187">
        <v>0</v>
      </c>
      <c r="E57" s="23" t="s">
        <v>2197</v>
      </c>
      <c r="F57" s="155"/>
      <c r="G57" s="2482"/>
      <c r="H57" s="2486"/>
      <c r="I57" s="2486"/>
      <c r="J57" s="3124">
        <f>IF(AND(J55="",J56=""),4,IF(项目基本情况!K6="上海银行",结果表!J56+1,结果表!J55+1))</f>
        <v>4</v>
      </c>
      <c r="K57" s="3124" t="s">
        <v>2224</v>
      </c>
      <c r="L57" s="2487" t="s">
        <v>2225</v>
      </c>
      <c r="M57" s="1756"/>
      <c r="N57" s="1757">
        <f ca="1">SUMIF(M52:M56,"&lt;9e307")</f>
        <v>9722</v>
      </c>
      <c r="O57" s="2488"/>
      <c r="P57" s="1750">
        <f ca="1">N57/M49</f>
        <v>0.56655011655011656</v>
      </c>
    </row>
    <row r="58" spans="1:35" ht="24.75">
      <c r="A58" s="183" t="s">
        <v>2206</v>
      </c>
      <c r="B58" s="3089" t="s">
        <v>2226</v>
      </c>
      <c r="C58" s="3090"/>
      <c r="D58" s="185">
        <f ca="1">IF(H58="转让取得",C81,C97)</f>
        <v>9713</v>
      </c>
      <c r="E58" s="11" t="s">
        <v>2221</v>
      </c>
      <c r="F58" s="24" t="s">
        <v>34</v>
      </c>
      <c r="G58" s="2482"/>
      <c r="H58" s="2485" t="s">
        <v>2227</v>
      </c>
      <c r="I58" s="2486"/>
      <c r="J58" s="3124"/>
      <c r="K58" s="3124"/>
      <c r="L58" s="2487" t="s">
        <v>2228</v>
      </c>
      <c r="M58" s="1758"/>
      <c r="N58" s="2489" t="str">
        <f ca="1">NUMBERSTRING(INT(N57*10000),2)&amp;"元整"</f>
        <v>玖仟柒佰贰拾贰万元整</v>
      </c>
      <c r="O58" s="2490"/>
    </row>
    <row r="59" spans="1:35" ht="24.75" thickBot="1">
      <c r="A59" s="3127" t="s">
        <v>2229</v>
      </c>
      <c r="B59" s="3128"/>
      <c r="C59" s="3128"/>
      <c r="D59" s="188" t="str">
        <f>IF(H59="非个人房产","——",IF(H59="个人住宅",0,ROUND(D45*I59,0)))</f>
        <v>——</v>
      </c>
      <c r="E59" s="189" t="str">
        <f>IF(H59="非个人房产","——","销售额×税（费）率")</f>
        <v>——</v>
      </c>
      <c r="F59" s="190" t="str">
        <f>IF(H59="非个人房产","——",IF(H59="个人住宅","免征",I59))</f>
        <v>——</v>
      </c>
      <c r="G59" s="2491" t="s">
        <v>2222</v>
      </c>
      <c r="H59" s="2485" t="s">
        <v>2230</v>
      </c>
      <c r="I59" s="191">
        <v>0.01</v>
      </c>
      <c r="J59" s="3125">
        <f>J57+1</f>
        <v>5</v>
      </c>
      <c r="K59" s="3124" t="s">
        <v>2231</v>
      </c>
      <c r="L59" s="1809" t="s">
        <v>2225</v>
      </c>
      <c r="M59" s="1759"/>
      <c r="N59" s="1760">
        <f ca="1">M49-N57</f>
        <v>7438</v>
      </c>
      <c r="O59" s="2492"/>
    </row>
    <row r="60" spans="1:35" ht="12" customHeight="1">
      <c r="A60" s="2493"/>
      <c r="B60" s="2415"/>
      <c r="C60" s="2415"/>
      <c r="D60" s="2415"/>
      <c r="E60" s="2164"/>
      <c r="F60" s="2486"/>
      <c r="G60" s="2486"/>
      <c r="H60" s="2494"/>
      <c r="I60" s="138"/>
      <c r="J60" s="3126"/>
      <c r="K60" s="3124"/>
      <c r="L60" s="2487" t="s">
        <v>2228</v>
      </c>
      <c r="M60" s="1758"/>
      <c r="N60" s="2489" t="str">
        <f ca="1">NUMBERSTRING(INT(N59*10000),2)&amp;"元整"</f>
        <v>柒仟肆佰叁拾捌万元整</v>
      </c>
      <c r="O60" s="2490"/>
    </row>
    <row r="61" spans="1:35" ht="13.5" thickBot="1">
      <c r="A61" s="3071" t="s">
        <v>2232</v>
      </c>
      <c r="B61" s="3071"/>
      <c r="C61" s="3071"/>
      <c r="D61" s="3071"/>
      <c r="E61" s="3071"/>
      <c r="F61" s="2486"/>
      <c r="G61" s="2486"/>
      <c r="H61" s="2494"/>
      <c r="I61" s="138"/>
      <c r="J61" s="1809">
        <f>J59+1</f>
        <v>6</v>
      </c>
      <c r="K61" s="3124" t="s">
        <v>2233</v>
      </c>
      <c r="L61" s="3124"/>
      <c r="M61" s="1761"/>
      <c r="N61" s="1762">
        <f ca="1">ROUND(N59*10000/'数据-汇总表'!E3,0)</f>
        <v>14791</v>
      </c>
      <c r="O61" s="2495"/>
    </row>
    <row r="62" spans="1:35" ht="12.75">
      <c r="A62" s="3087" t="s">
        <v>2234</v>
      </c>
      <c r="B62" s="3088"/>
      <c r="C62" s="1801"/>
      <c r="D62" s="1801" t="s">
        <v>2235</v>
      </c>
      <c r="E62" s="192" t="s">
        <v>2236</v>
      </c>
      <c r="F62" s="2486"/>
      <c r="G62" s="2486"/>
      <c r="H62" s="2494"/>
      <c r="I62" s="138"/>
    </row>
    <row r="63" spans="1:35" ht="12.75">
      <c r="A63" s="203" t="s">
        <v>775</v>
      </c>
      <c r="B63" s="193" t="s">
        <v>2237</v>
      </c>
      <c r="C63" s="194">
        <f ca="1">ROUND((C64+C65)/(1+'数据-取费表'!C42),0)</f>
        <v>16343</v>
      </c>
      <c r="D63" s="195"/>
      <c r="E63" s="196"/>
      <c r="F63" s="2486"/>
      <c r="G63" s="2486"/>
      <c r="H63" s="2494"/>
      <c r="I63" s="138"/>
      <c r="J63" s="3149" t="s">
        <v>2238</v>
      </c>
      <c r="K63" s="2496" t="s">
        <v>2239</v>
      </c>
      <c r="L63" s="1749">
        <f ca="1">IF(M49&gt;10000,M49*0.5%,IF(AND(M49&gt;1000,M49&lt;=10000),M49*1%,IF(AND(M49&gt;100,M49&lt;=1000),M49*3%,IF(AND(M49&gt;10,M49&lt;=100),M49*5%,M49*8%))))</f>
        <v>85.8</v>
      </c>
      <c r="M63" s="24">
        <f ca="1">ROUND(L63,1)</f>
        <v>85.8</v>
      </c>
      <c r="Z63" s="2420"/>
      <c r="AI63" s="2421"/>
    </row>
    <row r="64" spans="1:35" ht="14.25" customHeight="1">
      <c r="A64" s="197" t="s">
        <v>770</v>
      </c>
      <c r="B64" s="198" t="s">
        <v>2240</v>
      </c>
      <c r="C64" s="199">
        <f ca="1">D45</f>
        <v>17160</v>
      </c>
      <c r="D64" s="200" t="s">
        <v>32</v>
      </c>
      <c r="E64" s="201"/>
      <c r="F64" s="2486"/>
      <c r="G64" s="2486"/>
      <c r="H64" s="2494"/>
      <c r="I64" s="138"/>
      <c r="J64" s="3149"/>
      <c r="K64" s="2496" t="s">
        <v>2241</v>
      </c>
      <c r="L64" s="1749">
        <f ca="1">IF(M49&gt;2000,M49*0.5%,IF(AND(M49&gt;1000,M49&lt;=2000),M49*0.6%,IF(AND(M49&gt;500,M49&lt;=1000),M49*0.7%,IF(AND(M49&gt;200,M49&lt;=500),M49*0.8%,IF(AND(M49&gt;100,M49&lt;=200),M49*0.9%,IF(AND(M49&gt;50,M49&lt;=100),M49*1%,IF(AND(M49&gt;20,M49&lt;=50),M49*1.5%,IF(AND(M49&gt;10,M49&lt;=20),M49*2%,IF(AND(M49&gt;1,M49&lt;=10),M49*2.5%)))))))))</f>
        <v>85.8</v>
      </c>
      <c r="M64" s="24">
        <f t="shared" ref="M64:M65" ca="1" si="1">ROUND(L64,1)</f>
        <v>85.8</v>
      </c>
      <c r="N64" s="138" t="s">
        <v>2242</v>
      </c>
      <c r="Z64" s="2420"/>
      <c r="AI64" s="2421"/>
    </row>
    <row r="65" spans="1:35" ht="14.25" customHeight="1">
      <c r="A65" s="197" t="s">
        <v>771</v>
      </c>
      <c r="B65" s="198" t="s">
        <v>2243</v>
      </c>
      <c r="C65" s="202"/>
      <c r="D65" s="200"/>
      <c r="E65" s="201"/>
      <c r="F65" s="2486"/>
      <c r="G65" s="2486"/>
      <c r="H65" s="2494"/>
      <c r="I65" s="138"/>
      <c r="J65" s="3149"/>
      <c r="K65" s="2496" t="s">
        <v>2244</v>
      </c>
      <c r="L65" s="1749">
        <f ca="1">IF(M49&gt;1000,M49*0.1%,IF(AND(M49&gt;500,M49&lt;=1000),M49*0.5%,IF(AND(M49&gt;50,M49&lt;=500),M49*1%,IF(AND(M49&gt;1,M49&lt;=50),M49*1.5%))))</f>
        <v>17.16</v>
      </c>
      <c r="M65" s="24">
        <f t="shared" ca="1" si="1"/>
        <v>17.2</v>
      </c>
      <c r="N65" s="138" t="s">
        <v>2242</v>
      </c>
      <c r="Z65" s="2420"/>
      <c r="AI65" s="2421"/>
    </row>
    <row r="66" spans="1:35" ht="14.25" customHeight="1">
      <c r="A66" s="203" t="s">
        <v>772</v>
      </c>
      <c r="B66" s="204" t="s">
        <v>2245</v>
      </c>
      <c r="C66" s="205"/>
      <c r="D66" s="206" t="s">
        <v>32</v>
      </c>
      <c r="E66" s="1773" t="s">
        <v>1367</v>
      </c>
      <c r="F66" s="2486"/>
      <c r="G66" s="2486"/>
      <c r="H66" s="2494"/>
      <c r="I66" s="138"/>
      <c r="J66" s="3149"/>
      <c r="K66" s="2496" t="s">
        <v>2246</v>
      </c>
      <c r="L66" s="1749">
        <f ca="1">M49*0.5%</f>
        <v>85.8</v>
      </c>
      <c r="M66" s="24">
        <f ca="1">IF(L66&gt;0.5,0.5,ROUND(L66,0))</f>
        <v>0.5</v>
      </c>
      <c r="N66" s="138" t="s">
        <v>2247</v>
      </c>
      <c r="Z66" s="2420"/>
      <c r="AI66" s="2421"/>
    </row>
    <row r="67" spans="1:35" ht="14.25" customHeight="1">
      <c r="A67" s="203" t="s">
        <v>773</v>
      </c>
      <c r="B67" s="204" t="s">
        <v>2248</v>
      </c>
      <c r="C67" s="207">
        <f ca="1">C63-C66</f>
        <v>16343</v>
      </c>
      <c r="D67" s="200" t="s">
        <v>32</v>
      </c>
      <c r="E67" s="201"/>
      <c r="F67" s="2486"/>
      <c r="G67" s="2486"/>
      <c r="H67" s="2494"/>
      <c r="I67" s="138"/>
      <c r="J67" s="3149"/>
      <c r="K67" s="2496" t="s">
        <v>2249</v>
      </c>
      <c r="L67" s="1749">
        <f ca="1">IF(M49&gt;=10000,(8.25+(M49-10000)*0.01%),IF(AND(M49&gt;=8000,M49&lt;10000),(7.85+(M49-8000)*0.02%),IF(AND(M49&gt;=5000,M49&lt;8000),(6.65+(M49-5000)*0.04%),IF(AND(M49&gt;=2000,M49&lt;5000),(4.25+(PM49-2000)*0.08%),IF(AND(M49&gt;=1000,M49&lt;2000),(2.75+(M49-1000)*0.15%),IF(AND(M49&gt;=100,M49&lt;1000),(0.5+(M49-100)*0.25%),IF(AND(M49&gt;0,M49&lt;100),M49*0.5%)))))))</f>
        <v>8.9659999999999993</v>
      </c>
      <c r="M67" s="24">
        <f ca="1">ROUND(L67*0.9,1)</f>
        <v>8.1</v>
      </c>
      <c r="Z67" s="2420"/>
      <c r="AI67" s="2421"/>
    </row>
    <row r="68" spans="1:35" ht="14.25" customHeight="1" thickBot="1">
      <c r="A68" s="208" t="s">
        <v>774</v>
      </c>
      <c r="B68" s="209" t="s">
        <v>2250</v>
      </c>
      <c r="C68" s="210">
        <f ca="1">IF(C67&lt;=0,0,ROUND(C67*D68,0))</f>
        <v>915</v>
      </c>
      <c r="D68" s="211">
        <f>'数据-取费表'!B41</f>
        <v>5.6000000000000001E-2</v>
      </c>
      <c r="E68" s="212"/>
      <c r="F68" s="2486"/>
      <c r="G68" s="2486"/>
      <c r="H68" s="2494"/>
      <c r="I68" s="138"/>
      <c r="J68" s="3149"/>
      <c r="K68" s="2496" t="s">
        <v>2251</v>
      </c>
      <c r="L68" s="1749">
        <f ca="1">IF(M49&gt;10000,M49*0.5%,IF(AND(M49&gt;5000,M49&lt;=10000),M49*1%,IF(AND(M49&gt;1000,M49&lt;=5000),M49*2%,IF(AND(M49&gt;200,M49&lt;=1000),M49*3%,M49*5%))))</f>
        <v>85.8</v>
      </c>
      <c r="M68" s="24">
        <f ca="1">ROUND(L68,1)</f>
        <v>85.8</v>
      </c>
      <c r="Z68" s="2420"/>
      <c r="AI68" s="2421"/>
    </row>
    <row r="69" spans="1:35" s="2443" customFormat="1" ht="16.5" customHeight="1">
      <c r="A69" s="2497"/>
      <c r="B69" s="2498"/>
      <c r="C69" s="2499"/>
      <c r="D69" s="2500"/>
      <c r="E69" s="2501"/>
      <c r="F69" s="2164"/>
      <c r="G69" s="2164"/>
      <c r="H69" s="2163"/>
      <c r="I69" s="2415"/>
      <c r="J69" s="3149"/>
      <c r="K69" s="2496" t="s">
        <v>2252</v>
      </c>
      <c r="L69" s="2502"/>
      <c r="M69" s="24">
        <f ca="1">ROUND(SUM(M63:M68),0)</f>
        <v>283</v>
      </c>
      <c r="N69" s="1750">
        <f ca="1">M69/M49</f>
        <v>1.6491841491841491E-2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08" t="s">
        <v>2253</v>
      </c>
      <c r="B70" s="3109"/>
      <c r="C70" s="3109"/>
      <c r="D70" s="3109"/>
      <c r="E70" s="3109"/>
      <c r="F70" s="3109"/>
      <c r="G70" s="3109"/>
      <c r="H70" s="3109"/>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87" t="s">
        <v>2234</v>
      </c>
      <c r="B71" s="3088"/>
      <c r="C71" s="1801"/>
      <c r="D71" s="1801" t="s">
        <v>2235</v>
      </c>
      <c r="E71" s="213" t="s">
        <v>2236</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2254</v>
      </c>
      <c r="C72" s="207">
        <f ca="1">ROUND(D45/(1+'数据-取费表'!C42),0)</f>
        <v>16343</v>
      </c>
      <c r="D72" s="200" t="s">
        <v>32</v>
      </c>
      <c r="E72" s="1800"/>
      <c r="F72" s="1794"/>
      <c r="G72" s="1794"/>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2255</v>
      </c>
      <c r="C73" s="207">
        <f ca="1">C74+C78</f>
        <v>98</v>
      </c>
      <c r="D73" s="200" t="s">
        <v>32</v>
      </c>
      <c r="E73" s="1800"/>
      <c r="F73" s="1794"/>
      <c r="G73" s="1794"/>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2256</v>
      </c>
      <c r="C74" s="200">
        <f>ROUND(IF(G77="2016年5月1日后购买",C75/(1+'数据-取费表'!C42)+C76+C77,C75+C76+C77),0)</f>
        <v>0</v>
      </c>
      <c r="D74" s="200" t="s">
        <v>32</v>
      </c>
      <c r="E74" s="1800"/>
      <c r="F74" s="1794"/>
      <c r="G74" s="1794"/>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2257</v>
      </c>
      <c r="C75" s="218"/>
      <c r="D75" s="200" t="s">
        <v>32</v>
      </c>
      <c r="E75" s="219" t="s">
        <v>2258</v>
      </c>
      <c r="F75" s="2508" t="s">
        <v>2259</v>
      </c>
      <c r="G75" s="219" t="s">
        <v>2260</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2261</v>
      </c>
      <c r="C76" s="200">
        <f>IF(F75="购房发票",ROUND(C75*H75*D76,0),0)</f>
        <v>0</v>
      </c>
      <c r="D76" s="222">
        <v>0.05</v>
      </c>
      <c r="E76" s="3082" t="s">
        <v>2262</v>
      </c>
      <c r="F76" s="3059"/>
      <c r="G76" s="3059"/>
      <c r="H76" s="3107"/>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0" t="s">
        <v>2265</v>
      </c>
      <c r="H77" s="1805"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2266</v>
      </c>
      <c r="C78" s="225">
        <f ca="1">ROUND(D45*D78/(1+'数据-取费表'!C42),0)</f>
        <v>98</v>
      </c>
      <c r="D78" s="226">
        <f>'数据-取费表'!B43</f>
        <v>6.000000000000001E-3</v>
      </c>
      <c r="E78" s="3068" t="s">
        <v>2267</v>
      </c>
      <c r="F78" s="3069"/>
      <c r="G78" s="3069"/>
      <c r="H78" s="3078"/>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2268</v>
      </c>
      <c r="C79" s="207">
        <f ca="1">C72-C73</f>
        <v>16245</v>
      </c>
      <c r="D79" s="200" t="s">
        <v>32</v>
      </c>
      <c r="E79" s="1800"/>
      <c r="F79" s="1794"/>
      <c r="G79" s="1794"/>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2269</v>
      </c>
      <c r="C80" s="227">
        <f ca="1">IF(C79&lt;=0,0,C79/C73)</f>
        <v>165.76530612244898</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2270</v>
      </c>
      <c r="C81" s="228">
        <f ca="1">ROUND(IF(C79&lt;=0,0,IF(C80&gt;=200%,C79*60%-C73*35%,IF(C80&gt;=100%,C79*50%-C73*15%,IF(C80&gt;=50%,C79*40%-C73*5%,IF(C80&lt;50%,C79*30%,0))))),0)</f>
        <v>9713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08" t="s">
        <v>2271</v>
      </c>
      <c r="B83" s="3109"/>
      <c r="C83" s="3109"/>
      <c r="D83" s="3109"/>
      <c r="E83" s="3109"/>
      <c r="F83" s="3109"/>
      <c r="G83" s="3109"/>
      <c r="H83" s="3109"/>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87" t="s">
        <v>2234</v>
      </c>
      <c r="B84" s="3088"/>
      <c r="C84" s="1801"/>
      <c r="D84" s="1801" t="s">
        <v>2235</v>
      </c>
      <c r="E84" s="213" t="s">
        <v>2236</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2254</v>
      </c>
      <c r="C85" s="207">
        <f ca="1">ROUND(D45/(1+'数据-取费表'!C42),0)</f>
        <v>16343</v>
      </c>
      <c r="D85" s="200" t="s">
        <v>32</v>
      </c>
      <c r="E85" s="1800"/>
      <c r="F85" s="1794"/>
      <c r="G85" s="1794"/>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2255</v>
      </c>
      <c r="C86" s="207">
        <f ca="1">IF(H88="仅含出让金",C87+C90+C91+C92+C93+C94,C87+C91+C92+C93+C94)</f>
        <v>98</v>
      </c>
      <c r="D86" s="235"/>
      <c r="E86" s="1800"/>
      <c r="F86" s="1794"/>
      <c r="G86" s="1794"/>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2272</v>
      </c>
      <c r="C87" s="225">
        <f>C88+C89</f>
        <v>0</v>
      </c>
      <c r="D87" s="226"/>
      <c r="E87" s="1796"/>
      <c r="F87" s="1797"/>
      <c r="G87" s="1797"/>
      <c r="H87" s="1799"/>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2273</v>
      </c>
      <c r="C88" s="236"/>
      <c r="D88" s="226"/>
      <c r="E88" s="237" t="s">
        <v>2274</v>
      </c>
      <c r="F88" s="1797"/>
      <c r="G88" s="238" t="s">
        <v>2275</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2263</v>
      </c>
      <c r="C89" s="225">
        <f>ROUND(C88*D89,0)</f>
        <v>0</v>
      </c>
      <c r="D89" s="226">
        <f>'数据-取费表'!B48+'数据-取费表'!B49</f>
        <v>3.0499999999999999E-2</v>
      </c>
      <c r="E89" s="237" t="s">
        <v>2276</v>
      </c>
      <c r="F89" s="1797"/>
      <c r="G89" s="1797"/>
      <c r="H89" s="1799"/>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2277</v>
      </c>
      <c r="C90" s="236"/>
      <c r="D90" s="226"/>
      <c r="E90" s="237" t="str">
        <f>IF(H88="-","土地取得成本中已包含该笔费用"," ")</f>
        <v xml:space="preserve"> </v>
      </c>
      <c r="F90" s="1797"/>
      <c r="G90" s="1797"/>
      <c r="H90" s="1799"/>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2278</v>
      </c>
      <c r="B91" s="198" t="s">
        <v>2279</v>
      </c>
      <c r="C91" s="225">
        <f>IF(H91="——",成本法!C33,I91)</f>
        <v>0</v>
      </c>
      <c r="D91" s="226"/>
      <c r="E91" s="3068" t="s">
        <v>2280</v>
      </c>
      <c r="F91" s="3069"/>
      <c r="G91" s="3069"/>
      <c r="H91" s="2515" t="s">
        <v>2281</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2282</v>
      </c>
      <c r="B92" s="198" t="s">
        <v>2283</v>
      </c>
      <c r="C92" s="225">
        <f>ROUND((C87+C90+C91)*D92,0)</f>
        <v>0</v>
      </c>
      <c r="D92" s="226">
        <v>0.1</v>
      </c>
      <c r="E92" s="3068" t="s">
        <v>2284</v>
      </c>
      <c r="F92" s="3069"/>
      <c r="G92" s="3069"/>
      <c r="H92" s="3078"/>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2285</v>
      </c>
      <c r="B93" s="198" t="s">
        <v>2266</v>
      </c>
      <c r="C93" s="225">
        <f ca="1">ROUND(D45*D93/(1+'数据-取费表'!C42),0)</f>
        <v>98</v>
      </c>
      <c r="D93" s="226">
        <f>'数据-取费表'!B43</f>
        <v>6.000000000000001E-3</v>
      </c>
      <c r="E93" s="3068" t="s">
        <v>2267</v>
      </c>
      <c r="F93" s="3069"/>
      <c r="G93" s="3069"/>
      <c r="H93" s="3078"/>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2286</v>
      </c>
      <c r="B94" s="198" t="s">
        <v>2287</v>
      </c>
      <c r="C94" s="236">
        <f>ROUND((C87+C90+C91)*D94,0)</f>
        <v>0</v>
      </c>
      <c r="D94" s="226">
        <v>0.2</v>
      </c>
      <c r="E94" s="3079" t="s">
        <v>2288</v>
      </c>
      <c r="F94" s="3080"/>
      <c r="G94" s="3080"/>
      <c r="H94" s="3081"/>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2268</v>
      </c>
      <c r="C95" s="207">
        <f ca="1">ROUND(C85-C86,0)</f>
        <v>16245</v>
      </c>
      <c r="D95" s="200" t="s">
        <v>32</v>
      </c>
      <c r="E95" s="1800"/>
      <c r="F95" s="1794"/>
      <c r="G95" s="1794"/>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2269</v>
      </c>
      <c r="C96" s="227">
        <f ca="1">IF(C95&lt;=0,0,C95/C86)</f>
        <v>165.76530612244898</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2270</v>
      </c>
      <c r="C97" s="228">
        <f ca="1">ROUND(IF(C95&lt;=0,0,IF(C96&gt;=200%,C95*60%-C86*35%,IF(C96&gt;=100%,C95*50%-C86*15%,IF(C96&gt;=50%,C95*40%-C86*5%,IF(C96&lt;50%,C95*30%,0))))),0)</f>
        <v>9713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4"/>
      <c r="F98" s="2164"/>
      <c r="G98" s="2164"/>
      <c r="H98" s="2163"/>
      <c r="I98" s="138"/>
    </row>
    <row r="99" spans="1:35" ht="21.75" customHeight="1" thickBot="1">
      <c r="A99" s="2471" t="s">
        <v>2289</v>
      </c>
      <c r="B99" s="2415"/>
      <c r="C99" s="2415"/>
      <c r="D99" s="2415"/>
      <c r="E99" s="2164"/>
      <c r="F99" s="2164"/>
      <c r="G99" s="2164"/>
      <c r="H99" s="2163"/>
      <c r="I99" s="138"/>
    </row>
    <row r="100" spans="1:35" ht="18.75" customHeight="1">
      <c r="A100" s="3053" t="s">
        <v>2290</v>
      </c>
      <c r="B100" s="3054"/>
      <c r="C100" s="3054"/>
      <c r="D100" s="3070"/>
      <c r="E100" s="3054" t="s">
        <v>2291</v>
      </c>
      <c r="F100" s="3054"/>
      <c r="G100" s="3054"/>
      <c r="H100" s="3070"/>
      <c r="I100" s="138"/>
    </row>
    <row r="101" spans="1:35" ht="18.75" customHeight="1">
      <c r="A101" s="3132" t="s">
        <v>2292</v>
      </c>
      <c r="B101" s="3133"/>
      <c r="C101" s="736" t="str">
        <f>C4</f>
        <v>成本法</v>
      </c>
      <c r="D101" s="737" t="str">
        <f>D4</f>
        <v>收益法</v>
      </c>
      <c r="E101" s="3146" t="s">
        <v>2293</v>
      </c>
      <c r="F101" s="3100"/>
      <c r="G101" s="2517" t="s">
        <v>2294</v>
      </c>
      <c r="H101" s="1045">
        <f ca="1">H118</f>
        <v>17160</v>
      </c>
      <c r="I101" s="138"/>
    </row>
    <row r="102" spans="1:35" ht="18.75" customHeight="1">
      <c r="A102" s="3102" t="s">
        <v>2295</v>
      </c>
      <c r="B102" s="2517" t="s">
        <v>2294</v>
      </c>
      <c r="C102" s="736">
        <f ca="1">C19</f>
        <v>18779</v>
      </c>
      <c r="D102" s="737">
        <f ca="1">D19</f>
        <v>15540</v>
      </c>
      <c r="E102" s="3146"/>
      <c r="F102" s="3100"/>
      <c r="G102" s="2517" t="s">
        <v>2296</v>
      </c>
      <c r="H102" s="371">
        <f ca="1">I118</f>
        <v>34125</v>
      </c>
      <c r="I102" s="138"/>
    </row>
    <row r="103" spans="1:35" ht="42.75" customHeight="1">
      <c r="A103" s="3102"/>
      <c r="B103" s="2517" t="s">
        <v>2296</v>
      </c>
      <c r="C103" s="738">
        <f ca="1">C20</f>
        <v>37345</v>
      </c>
      <c r="D103" s="739">
        <f ca="1">D20</f>
        <v>30903</v>
      </c>
      <c r="E103" s="3141" t="s">
        <v>2297</v>
      </c>
      <c r="F103" s="3142"/>
      <c r="G103" s="2518" t="s">
        <v>2298</v>
      </c>
      <c r="H103" s="1045">
        <f>IF(D36="正常操作",H104+H105+H106,H105+H106)</f>
        <v>0</v>
      </c>
      <c r="I103" s="138"/>
    </row>
    <row r="104" spans="1:35" ht="18.75" customHeight="1">
      <c r="A104" s="3102" t="s">
        <v>2299</v>
      </c>
      <c r="B104" s="2519" t="s">
        <v>2294</v>
      </c>
      <c r="C104" s="740">
        <f ca="1">H118</f>
        <v>17160</v>
      </c>
      <c r="D104" s="741"/>
      <c r="E104" s="2264" t="s">
        <v>2300</v>
      </c>
      <c r="F104" s="2255"/>
      <c r="G104" s="2518" t="s">
        <v>2298</v>
      </c>
      <c r="H104" s="1046">
        <f>IF(D36="同一抵押权人同一抵押物续贷",C36&amp;"（未扣减，详见特别提示）",C36)</f>
        <v>0</v>
      </c>
      <c r="I104" s="138"/>
    </row>
    <row r="105" spans="1:35" ht="18.75" customHeight="1" thickBot="1">
      <c r="A105" s="3103"/>
      <c r="B105" s="2520" t="s">
        <v>2296</v>
      </c>
      <c r="C105" s="742">
        <f ca="1">I118</f>
        <v>34125</v>
      </c>
      <c r="D105" s="743"/>
      <c r="E105" s="2264" t="s">
        <v>2301</v>
      </c>
      <c r="F105" s="2255"/>
      <c r="G105" s="2518" t="s">
        <v>2298</v>
      </c>
      <c r="H105" s="1046">
        <f>C37</f>
        <v>0</v>
      </c>
      <c r="I105" s="138"/>
    </row>
    <row r="106" spans="1:35" ht="18.75" customHeight="1">
      <c r="A106" s="2415" t="s">
        <v>2302</v>
      </c>
      <c r="B106" s="2415"/>
      <c r="C106" s="2415"/>
      <c r="D106" s="2415"/>
      <c r="E106" s="2521" t="s">
        <v>2303</v>
      </c>
      <c r="F106" s="2255"/>
      <c r="G106" s="2518" t="s">
        <v>2298</v>
      </c>
      <c r="H106" s="1046">
        <f>C38</f>
        <v>0</v>
      </c>
      <c r="I106" s="138"/>
    </row>
    <row r="107" spans="1:35" ht="18.75" customHeight="1">
      <c r="A107" s="138"/>
      <c r="B107" s="138"/>
      <c r="C107" s="138"/>
      <c r="D107" s="138"/>
      <c r="E107" s="3099" t="str">
        <f>IF(项目基本情况!E8="已注销","——","3.房地产抵押价值")</f>
        <v>3.房地产抵押价值</v>
      </c>
      <c r="F107" s="3100"/>
      <c r="G107" s="2517" t="s">
        <v>2294</v>
      </c>
      <c r="H107" s="1045">
        <f ca="1">IF(E107="——","——",H101-H103)</f>
        <v>17160</v>
      </c>
      <c r="I107" s="138"/>
    </row>
    <row r="108" spans="1:35" ht="18.75" customHeight="1">
      <c r="A108" s="138"/>
      <c r="B108" s="138"/>
      <c r="C108" s="138"/>
      <c r="D108" s="138"/>
      <c r="E108" s="3099"/>
      <c r="F108" s="3100"/>
      <c r="G108" s="2517" t="s">
        <v>2296</v>
      </c>
      <c r="H108" s="371">
        <f ca="1">ROUND(H107*10000/'数据-汇总表'!E3,0)</f>
        <v>34125</v>
      </c>
      <c r="I108" s="138"/>
    </row>
    <row r="109" spans="1:35" ht="18.75" customHeight="1">
      <c r="A109" s="138"/>
      <c r="B109" s="138"/>
      <c r="C109" s="138"/>
      <c r="D109" s="138"/>
      <c r="E109" s="3099" t="str">
        <f>IF(项目基本情况!E8="已注销及未注销","4.抵押担保权已注销时的房地产抵押价值",IF(项目基本情况!E8="已注销","3.抵押担保权已注销时的房地产抵押价值","——"))</f>
        <v>——</v>
      </c>
      <c r="F109" s="3100"/>
      <c r="G109" s="2517" t="s">
        <v>2294</v>
      </c>
      <c r="H109" s="348" t="str">
        <f>IF(E109="——","——",H101-H105-H106)</f>
        <v>——</v>
      </c>
      <c r="I109" s="138"/>
    </row>
    <row r="110" spans="1:35" ht="18.75" customHeight="1">
      <c r="A110" s="138"/>
      <c r="B110" s="138"/>
      <c r="C110" s="138"/>
      <c r="D110" s="138"/>
      <c r="E110" s="3099"/>
      <c r="F110" s="3100"/>
      <c r="G110" s="2517" t="s">
        <v>2296</v>
      </c>
      <c r="H110" s="371" t="str">
        <f>IF(H109="——","——",ROUND(H109*10000/'数据-汇总表'!E3,0))</f>
        <v>——</v>
      </c>
      <c r="I110" s="138"/>
    </row>
    <row r="111" spans="1:35" ht="18.75" customHeight="1">
      <c r="A111" s="138"/>
      <c r="B111" s="138"/>
      <c r="C111" s="138"/>
      <c r="D111" s="138"/>
      <c r="E111" s="3134" t="str">
        <f>IF(项目基本情况!E9="抵押净值",IF(OR(项目基本情况!E8="已注销",项目基本情况!E8="房地产抵押价值"),"4.抵押净值","5.抵押净值"),"——")</f>
        <v>——</v>
      </c>
      <c r="F111" s="3135"/>
      <c r="G111" s="2517" t="s">
        <v>2294</v>
      </c>
      <c r="H111" s="1045" t="str">
        <f>IF(E111="——","——",N59)</f>
        <v>——</v>
      </c>
      <c r="I111" s="138"/>
    </row>
    <row r="112" spans="1:35" ht="18.75" customHeight="1" thickBot="1">
      <c r="A112" s="138"/>
      <c r="B112" s="138"/>
      <c r="C112" s="138"/>
      <c r="D112" s="138"/>
      <c r="E112" s="3136"/>
      <c r="F112" s="3137"/>
      <c r="G112" s="2522" t="s">
        <v>2296</v>
      </c>
      <c r="H112" s="790" t="str">
        <f>IF(E111="——","——",N61)</f>
        <v>——</v>
      </c>
      <c r="I112" s="138"/>
    </row>
    <row r="113" spans="1:11" ht="18.75" customHeight="1">
      <c r="A113" s="138"/>
      <c r="B113" s="138"/>
      <c r="C113" s="138"/>
      <c r="D113" s="138"/>
      <c r="E113" s="3104" t="s">
        <v>2302</v>
      </c>
      <c r="F113" s="3104"/>
      <c r="G113" s="3104"/>
      <c r="H113" s="3104"/>
      <c r="I113" s="138"/>
    </row>
    <row r="114" spans="1:11" ht="3.75" customHeight="1">
      <c r="A114" s="2415"/>
      <c r="B114" s="2415"/>
      <c r="C114" s="2415"/>
      <c r="D114" s="2415"/>
      <c r="E114" s="2493"/>
      <c r="F114" s="2493"/>
      <c r="G114" s="2493"/>
      <c r="H114" s="2493"/>
      <c r="I114" s="2415"/>
    </row>
    <row r="115" spans="1:11" ht="18.75" customHeight="1">
      <c r="A115" s="3117" t="s">
        <v>2304</v>
      </c>
      <c r="B115" s="3118"/>
      <c r="C115" s="3118"/>
      <c r="D115" s="3118"/>
      <c r="E115" s="3118"/>
      <c r="F115" s="3118"/>
      <c r="G115" s="3118"/>
      <c r="H115" s="3118"/>
      <c r="I115" s="3119"/>
    </row>
    <row r="116" spans="1:11" ht="27" customHeight="1">
      <c r="A116" s="3010" t="s">
        <v>2305</v>
      </c>
      <c r="B116" s="3105" t="s">
        <v>2306</v>
      </c>
      <c r="C116" s="3105" t="s">
        <v>2307</v>
      </c>
      <c r="D116" s="3121" t="s">
        <v>2308</v>
      </c>
      <c r="E116" s="3122"/>
      <c r="F116" s="3113" t="s">
        <v>2309</v>
      </c>
      <c r="G116" s="3113"/>
      <c r="H116" s="3010" t="s">
        <v>2310</v>
      </c>
      <c r="I116" s="3010"/>
    </row>
    <row r="117" spans="1:11" ht="18.75" customHeight="1">
      <c r="A117" s="3010"/>
      <c r="B117" s="3106"/>
      <c r="C117" s="3106"/>
      <c r="D117" s="1795" t="s">
        <v>2311</v>
      </c>
      <c r="E117" s="1795" t="s">
        <v>2312</v>
      </c>
      <c r="F117" s="1795" t="s">
        <v>2311</v>
      </c>
      <c r="G117" s="1795" t="s">
        <v>2313</v>
      </c>
      <c r="H117" s="1795" t="s">
        <v>2311</v>
      </c>
      <c r="I117" s="1795" t="s">
        <v>2313</v>
      </c>
    </row>
    <row r="118" spans="1:11" ht="24.75" customHeight="1">
      <c r="A118" s="2523" t="str">
        <f>项目基本情况!S2</f>
        <v>北京市海淀区中关村大街18号五层部分综合用房房地产</v>
      </c>
      <c r="B118" s="1795">
        <f>M18</f>
        <v>5028.579999999999</v>
      </c>
      <c r="C118" s="1795">
        <f>M19</f>
        <v>563.73</v>
      </c>
      <c r="D118" s="1795">
        <f ca="1">ROUND(IF(D32="总价",C34,E118*B118/10000),0)</f>
        <v>15633</v>
      </c>
      <c r="E118" s="1795">
        <f ca="1">ROUND(IF(C33="自定义",IF(D32="楼面单价",C34,D118*10000/B118),I118-G118),0)</f>
        <v>31088</v>
      </c>
      <c r="F118" s="1795">
        <f ca="1">ROUND(IF(D32="总价",C35,G118*B118/10000),0)</f>
        <v>1527</v>
      </c>
      <c r="G118" s="1795">
        <f ca="1">ROUND(IF(D32="楼面单价",C35,F118*10000/B118),0)</f>
        <v>3037</v>
      </c>
      <c r="H118" s="1795">
        <f ca="1">ROUND(IF(D32="总价",C32,I118*B118/10000),0)</f>
        <v>17160</v>
      </c>
      <c r="I118" s="1795">
        <f ca="1">ROUND(IF(D32="楼面单价",C32,H118*10000/B118),0)</f>
        <v>34125</v>
      </c>
    </row>
    <row r="119" spans="1:11" ht="18.75" customHeight="1">
      <c r="A119" s="3010" t="s">
        <v>2314</v>
      </c>
      <c r="B119" s="3010"/>
      <c r="C119" s="3010"/>
      <c r="D119" s="3110" t="str">
        <f ca="1">NUMBERSTRING(INT(D118*10000),2)&amp;"元整"</f>
        <v>壹亿伍仟陆佰叁拾叁万元整</v>
      </c>
      <c r="E119" s="3112"/>
      <c r="F119" s="3110" t="str">
        <f ca="1">NUMBERSTRING(INT(F118*10000),2)&amp;"元整"</f>
        <v>壹仟伍佰贰拾柒万元整</v>
      </c>
      <c r="G119" s="3112"/>
      <c r="H119" s="3110" t="str">
        <f ca="1">NUMBERSTRING(INT(H118*10000),2)&amp;"元整"</f>
        <v>壹亿柒仟壹佰陆拾万元整</v>
      </c>
      <c r="I119" s="3112"/>
    </row>
    <row r="120" spans="1:11" ht="18.75" customHeight="1">
      <c r="A120" s="3138" t="str">
        <f>IF(项目基本情况!B9="房地产市场价值","",MID(E103,3,LEN(E103)-2))</f>
        <v>估价师知悉的法定优先受偿款</v>
      </c>
      <c r="B120" s="3139"/>
      <c r="C120" s="3140"/>
      <c r="D120" s="3138">
        <f>H103</f>
        <v>0</v>
      </c>
      <c r="E120" s="3139"/>
      <c r="F120" s="3139"/>
      <c r="G120" s="3139"/>
      <c r="H120" s="3139"/>
      <c r="I120" s="3140"/>
      <c r="K120" s="2420" t="str">
        <f>IF(D120=0,"故，本次评估不存在"&amp;A120,"故，本次评估"&amp;A120&amp;"为人民币"&amp;D120&amp;"万元整。")</f>
        <v>故，本次评估不存在估价师知悉的法定优先受偿款</v>
      </c>
    </row>
    <row r="121" spans="1:11" ht="18.75" customHeight="1">
      <c r="A121" s="3114" t="s">
        <v>2314</v>
      </c>
      <c r="B121" s="3115"/>
      <c r="C121" s="3116"/>
      <c r="D121" s="3110" t="str">
        <f>IF(D120=0,"零元整",NUMBERSTRING(INT(D120*10000),2)&amp;"元整")</f>
        <v>零元整</v>
      </c>
      <c r="E121" s="3111"/>
      <c r="F121" s="3111"/>
      <c r="G121" s="3111"/>
      <c r="H121" s="3111"/>
      <c r="I121" s="3112"/>
    </row>
    <row r="122" spans="1:11" ht="18.75" customHeight="1">
      <c r="A122" s="3101" t="str">
        <f>IF(项目基本情况!B9="房地产市场价值","",MID(E107,3,LEN(E107)-2))</f>
        <v>房地产抵押价值</v>
      </c>
      <c r="B122" s="3101"/>
      <c r="C122" s="3101"/>
      <c r="D122" s="3138">
        <f ca="1">H107</f>
        <v>17160</v>
      </c>
      <c r="E122" s="3139"/>
      <c r="F122" s="3139"/>
      <c r="G122" s="3139"/>
      <c r="H122" s="3139"/>
      <c r="I122" s="3140"/>
    </row>
    <row r="123" spans="1:11" ht="18.75" customHeight="1">
      <c r="A123" s="3010" t="s">
        <v>2314</v>
      </c>
      <c r="B123" s="3010"/>
      <c r="C123" s="3010"/>
      <c r="D123" s="3110" t="str">
        <f ca="1">NUMBERSTRING(INT(D122*10000),2)&amp;"元整"</f>
        <v>壹亿柒仟壹佰陆拾万元整</v>
      </c>
      <c r="E123" s="3111"/>
      <c r="F123" s="3111"/>
      <c r="G123" s="3111"/>
      <c r="H123" s="3111"/>
      <c r="I123" s="3112"/>
    </row>
    <row r="124" spans="1:11" ht="18.75" customHeight="1">
      <c r="A124" s="3101" t="str">
        <f>IF(项目基本情况!B9="房地产市场价值","",MID(E109,3,LEN(E109)-2))</f>
        <v/>
      </c>
      <c r="B124" s="3101"/>
      <c r="C124" s="3101"/>
      <c r="D124" s="3138" t="str">
        <f>H109</f>
        <v>——</v>
      </c>
      <c r="E124" s="3139"/>
      <c r="F124" s="3139"/>
      <c r="G124" s="3139"/>
      <c r="H124" s="3139"/>
      <c r="I124" s="3140"/>
    </row>
    <row r="125" spans="1:11" ht="18.75" customHeight="1">
      <c r="A125" s="3010" t="s">
        <v>2314</v>
      </c>
      <c r="B125" s="3010"/>
      <c r="C125" s="3010"/>
      <c r="D125" s="3110" t="e">
        <f>NUMBERSTRING(INT(D124*10000),2)&amp;"元整"</f>
        <v>#VALUE!</v>
      </c>
      <c r="E125" s="3111"/>
      <c r="F125" s="3111"/>
      <c r="G125" s="3111"/>
      <c r="H125" s="3111"/>
      <c r="I125" s="3112"/>
    </row>
    <row r="126" spans="1:11" ht="18.75" customHeight="1">
      <c r="A126" s="3101" t="str">
        <f>IF(项目基本情况!B9="房地产市场价值","",MID(E111,3,LEN(E111)-2))</f>
        <v/>
      </c>
      <c r="B126" s="3101"/>
      <c r="C126" s="3101"/>
      <c r="D126" s="3138" t="str">
        <f>H111</f>
        <v>——</v>
      </c>
      <c r="E126" s="3139"/>
      <c r="F126" s="3139"/>
      <c r="G126" s="3139"/>
      <c r="H126" s="3139"/>
      <c r="I126" s="3140"/>
    </row>
    <row r="127" spans="1:11" ht="18.75" customHeight="1">
      <c r="A127" s="3010" t="s">
        <v>2314</v>
      </c>
      <c r="B127" s="3010"/>
      <c r="C127" s="3010"/>
      <c r="D127" s="3110" t="e">
        <f>NUMBERSTRING(INT(D126*10000),2)&amp;"元整"</f>
        <v>#VALUE!</v>
      </c>
      <c r="E127" s="3111"/>
      <c r="F127" s="3111"/>
      <c r="G127" s="3111"/>
      <c r="H127" s="3111"/>
      <c r="I127" s="3112"/>
    </row>
    <row r="128" spans="1:11" ht="21.75" customHeight="1">
      <c r="A128" s="3120" t="s">
        <v>2315</v>
      </c>
      <c r="B128" s="3120"/>
      <c r="C128" s="3120"/>
      <c r="D128" s="3120"/>
      <c r="E128" s="3120"/>
      <c r="F128" s="3120"/>
      <c r="G128" s="3120"/>
      <c r="H128" s="3120"/>
      <c r="I128" s="3120"/>
    </row>
    <row r="129" spans="1:35" ht="21.75" customHeight="1">
      <c r="A129" s="2524" t="s">
        <v>2316</v>
      </c>
      <c r="B129" s="2525"/>
      <c r="C129" s="2526" t="s">
        <v>2317</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2318</v>
      </c>
      <c r="G135" s="2541"/>
      <c r="H135" s="2541"/>
      <c r="I135" s="2542" t="s">
        <v>2319</v>
      </c>
    </row>
    <row r="136" spans="1:35" ht="21.75" customHeight="1">
      <c r="A136" s="795"/>
      <c r="B136" s="2543"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2321</v>
      </c>
    </row>
    <row r="139" spans="1:35" ht="21.75" customHeight="1">
      <c r="A139" s="795"/>
      <c r="B139" s="2543" t="s">
        <v>2322</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2321</v>
      </c>
    </row>
    <row r="142" spans="1:35" ht="21.75" customHeight="1">
      <c r="A142" s="795"/>
      <c r="B142" s="2543"/>
      <c r="C142" s="2544"/>
      <c r="D142" s="2545"/>
      <c r="E142" s="2545"/>
      <c r="F142" s="2338"/>
      <c r="G142" s="795"/>
      <c r="H142" s="795"/>
      <c r="I142" s="795"/>
    </row>
    <row r="143" spans="1:35" s="139" customFormat="1" ht="21.75" customHeight="1">
      <c r="A143" s="795"/>
      <c r="B143" s="2543"/>
      <c r="C143" s="2544"/>
      <c r="D143" s="2545"/>
      <c r="E143" s="2545"/>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L34" sqref="L3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6" t="s">
        <v>3070</v>
      </c>
      <c r="C1" s="242"/>
      <c r="D1" s="242"/>
      <c r="E1" s="242"/>
      <c r="F1" s="242"/>
      <c r="G1" s="1379">
        <f>MATCH(B1,'数据-取费表'!A6:A16,0)+5</f>
        <v>6</v>
      </c>
    </row>
    <row r="2" spans="1:9" s="244" customFormat="1" ht="18" customHeight="1">
      <c r="A2" s="245" t="s">
        <v>2324</v>
      </c>
      <c r="B2" s="246">
        <f ca="1">IF(D2="——",C52,C52-E2)</f>
        <v>18779</v>
      </c>
      <c r="C2" s="243" t="s">
        <v>2325</v>
      </c>
      <c r="D2" s="2546" t="s">
        <v>3090</v>
      </c>
      <c r="E2" s="1440">
        <f ca="1">SUMIF(INDIRECT("'"&amp;G2&amp;"'"&amp;"!A:A"),"承租人权益价值",INDIRECT("'"&amp;G2&amp;"'"&amp;"!c:c"))</f>
        <v>145</v>
      </c>
      <c r="F2" s="2547" t="s">
        <v>2325</v>
      </c>
      <c r="G2" s="2548" t="s">
        <v>3072</v>
      </c>
    </row>
    <row r="3" spans="1:9" s="244" customFormat="1" ht="18" customHeight="1" thickBot="1">
      <c r="A3" s="247" t="s">
        <v>2326</v>
      </c>
      <c r="B3" s="248">
        <f ca="1">ROUND(B2*10000/(IF(B1="",'数据-汇总表'!E3,INDIRECT("'数据-取费表'!k"&amp;$G$1))),0)</f>
        <v>37345</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12543</v>
      </c>
      <c r="D5" s="255" t="s">
        <v>2331</v>
      </c>
      <c r="E5" s="256" t="s">
        <v>2332</v>
      </c>
      <c r="F5" s="256" t="s">
        <v>2333</v>
      </c>
      <c r="G5" s="257"/>
    </row>
    <row r="6" spans="1:9" s="258" customFormat="1" ht="13.5" customHeight="1">
      <c r="A6" s="949" t="s">
        <v>2334</v>
      </c>
      <c r="B6" s="259" t="s">
        <v>2335</v>
      </c>
      <c r="C6" s="260">
        <f ca="1">基准地价修正!B2</f>
        <v>12074</v>
      </c>
      <c r="D6" s="261"/>
      <c r="E6" s="262"/>
      <c r="F6" s="262"/>
      <c r="G6" s="263"/>
    </row>
    <row r="7" spans="1:9" s="258" customFormat="1" ht="13.5" customHeight="1">
      <c r="A7" s="949" t="s">
        <v>2336</v>
      </c>
      <c r="B7" s="259" t="s">
        <v>2337</v>
      </c>
      <c r="C7" s="264">
        <f ca="1">ROUND(C6*F7,0)</f>
        <v>368</v>
      </c>
      <c r="D7" s="264"/>
      <c r="E7" s="262"/>
      <c r="F7" s="265">
        <f>IF(项目基本情况!B8="出让",0,'数据-取费表'!B48+'数据-取费表'!B49)</f>
        <v>3.0499999999999999E-2</v>
      </c>
      <c r="G7" s="263"/>
    </row>
    <row r="8" spans="1:9" s="267" customFormat="1">
      <c r="A8" s="949" t="s">
        <v>2338</v>
      </c>
      <c r="B8" s="259" t="s">
        <v>2339</v>
      </c>
      <c r="C8" s="264">
        <f ca="1">IF(G8="已包含在土地购买价格中","0",IF(B1="",'数据-取费表'!B29,IF(G9="全部缴纳",C9+C10,H9)))</f>
        <v>101</v>
      </c>
      <c r="D8" s="266"/>
      <c r="E8" s="264"/>
      <c r="F8" s="265"/>
      <c r="G8" s="2549" t="s">
        <v>3091</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0" t="s">
        <v>3092</v>
      </c>
      <c r="H9" s="1390"/>
      <c r="I9" s="2551" t="s">
        <v>2341</v>
      </c>
    </row>
    <row r="10" spans="1:9" s="258" customFormat="1" ht="13.5" customHeight="1">
      <c r="A10" s="950" t="s">
        <v>801</v>
      </c>
      <c r="B10" s="268" t="s">
        <v>2342</v>
      </c>
      <c r="C10" s="269">
        <f ca="1">ROUND(D10*E10/10000,0)</f>
        <v>101</v>
      </c>
      <c r="D10" s="1032">
        <f ca="1">IF(B1="",'数据-汇总表'!E6,IF(INDIRECT("'数据-取费表'!c"&amp;$G$1)="住宅",INDIRECT("'数据-取费表'!s"&amp;$G$1),INDIRECT("'数据-取费表'!k"&amp;$G$1)+INDIRECT("'数据-取费表'!s"&amp;$G$1)))</f>
        <v>5028.579999999999</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5028.579999999999</v>
      </c>
      <c r="E19" s="255">
        <f>'数据-取费表'!B31</f>
        <v>200</v>
      </c>
      <c r="F19" s="275"/>
      <c r="G19" s="2549" t="s">
        <v>3093</v>
      </c>
    </row>
    <row r="20" spans="1:7" s="258" customFormat="1" ht="13.5" customHeight="1">
      <c r="A20" s="299" t="s">
        <v>2355</v>
      </c>
      <c r="B20" s="254" t="s">
        <v>2356</v>
      </c>
      <c r="C20" s="276">
        <f ca="1">ROUND((C5+C19)*F20,0)</f>
        <v>125</v>
      </c>
      <c r="D20" s="276"/>
      <c r="E20" s="276"/>
      <c r="F20" s="277">
        <f>'数据-取费表'!B37</f>
        <v>0.01</v>
      </c>
      <c r="G20" s="278" t="s">
        <v>2357</v>
      </c>
    </row>
    <row r="21" spans="1:7" s="258" customFormat="1" ht="13.5" customHeight="1">
      <c r="A21" s="299" t="s">
        <v>2358</v>
      </c>
      <c r="B21" s="254" t="s">
        <v>2359</v>
      </c>
      <c r="C21" s="279">
        <f>F21</f>
        <v>0.01</v>
      </c>
      <c r="D21" s="280" t="s">
        <v>2360</v>
      </c>
      <c r="E21" s="276"/>
      <c r="F21" s="277">
        <f>'数据-取费表'!B38</f>
        <v>0.01</v>
      </c>
      <c r="G21" s="278" t="s">
        <v>2361</v>
      </c>
    </row>
    <row r="22" spans="1:7" s="258" customFormat="1" ht="13.5" customHeight="1">
      <c r="A22" s="299" t="s">
        <v>2362</v>
      </c>
      <c r="B22" s="254" t="s">
        <v>2363</v>
      </c>
      <c r="C22" s="1354">
        <f ca="1">ROUND(SUM(C23:C25),0)</f>
        <v>908</v>
      </c>
      <c r="D22" s="279">
        <f ca="1">C26</f>
        <v>4.0000000000000002E-4</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904</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4</v>
      </c>
      <c r="D25" s="282"/>
      <c r="E25" s="285"/>
      <c r="F25" s="283"/>
      <c r="G25" s="286" t="s">
        <v>2372</v>
      </c>
    </row>
    <row r="26" spans="1:7" s="258" customFormat="1">
      <c r="A26" s="951" t="s">
        <v>795</v>
      </c>
      <c r="B26" s="259" t="s">
        <v>2373</v>
      </c>
      <c r="C26" s="282">
        <f ca="1">ROUND(IF('数据-取费表'!B22&lt;=1,F21*F22*'数据-取费表'!B23/2,F21*(POWER((1+F22),'数据-取费表'!B23/2)-1)),4)</f>
        <v>4.0000000000000002E-4</v>
      </c>
      <c r="D26" s="282"/>
      <c r="E26" s="285"/>
      <c r="F26" s="283"/>
      <c r="G26" s="287"/>
    </row>
    <row r="27" spans="1:7" s="258" customFormat="1" ht="24.75">
      <c r="A27" s="299" t="s">
        <v>2374</v>
      </c>
      <c r="B27" s="288" t="s">
        <v>2375</v>
      </c>
      <c r="C27" s="289">
        <f ca="1">C28</f>
        <v>2534</v>
      </c>
      <c r="D27" s="279">
        <f ca="1">C29</f>
        <v>2E-3</v>
      </c>
      <c r="E27" s="280" t="s">
        <v>2376</v>
      </c>
      <c r="F27" s="290">
        <f ca="1">IF(B1="",'数据-取费表'!Q16,INDIRECT("'数据-取费表'!q"&amp;$G$1))</f>
        <v>0.2</v>
      </c>
      <c r="G27" s="291" t="s">
        <v>2377</v>
      </c>
    </row>
    <row r="28" spans="1:7" s="258" customFormat="1" ht="13.5" customHeight="1">
      <c r="A28" s="951" t="s">
        <v>791</v>
      </c>
      <c r="B28" s="292" t="s">
        <v>2378</v>
      </c>
      <c r="C28" s="293">
        <f ca="1">ROUND((C5+C19+C20)*F27*'数据-取费表'!B21/'数据-取费表'!B20,0)</f>
        <v>2534</v>
      </c>
      <c r="D28" s="279"/>
      <c r="E28" s="280"/>
      <c r="F28" s="290"/>
      <c r="G28" s="291"/>
    </row>
    <row r="29" spans="1:7" s="258" customFormat="1" ht="13.5" customHeight="1">
      <c r="A29" s="951" t="s">
        <v>792</v>
      </c>
      <c r="B29" s="292" t="s">
        <v>2379</v>
      </c>
      <c r="C29" s="282">
        <f ca="1">ROUND(C21*F27*'数据-取费表'!B21/'数据-取费表'!B20,4)</f>
        <v>2E-3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17243</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1678</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1509</v>
      </c>
      <c r="D34" s="261"/>
      <c r="E34" s="264"/>
      <c r="F34" s="301">
        <f ca="1">IF('数据-取费表'!B24=0,1,IF(B1="",'数据-取费表'!N16,INDIRECT("'数据-取费表'!n"&amp;$G$1)))</f>
        <v>1</v>
      </c>
      <c r="G34" s="263" t="s">
        <v>2388</v>
      </c>
    </row>
    <row r="35" spans="1:7" ht="13.5" customHeight="1">
      <c r="A35" s="951" t="s">
        <v>796</v>
      </c>
      <c r="B35" s="259" t="s">
        <v>2389</v>
      </c>
      <c r="C35" s="264">
        <f ca="1">ROUND(C34*F35,0)</f>
        <v>45</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101</v>
      </c>
      <c r="D37" s="261">
        <f ca="1">D19</f>
        <v>5028.579999999999</v>
      </c>
      <c r="E37" s="293">
        <f>'数据-取费表'!B35</f>
        <v>200</v>
      </c>
      <c r="F37" s="303"/>
      <c r="G37" s="305" t="s">
        <v>2394</v>
      </c>
    </row>
    <row r="38" spans="1:7" ht="13.5" customHeight="1">
      <c r="A38" s="951" t="s">
        <v>799</v>
      </c>
      <c r="B38" s="259" t="s">
        <v>2395</v>
      </c>
      <c r="C38" s="264">
        <f ca="1">ROUND(C34*F38,0)</f>
        <v>23</v>
      </c>
      <c r="D38" s="264"/>
      <c r="E38" s="264"/>
      <c r="F38" s="303">
        <f>'数据-取费表'!B36</f>
        <v>1.4999999999999999E-2</v>
      </c>
      <c r="G38" s="263" t="s">
        <v>2390</v>
      </c>
    </row>
    <row r="39" spans="1:7" s="258" customFormat="1" ht="13.5" customHeight="1">
      <c r="A39" s="299" t="s">
        <v>2396</v>
      </c>
      <c r="B39" s="254" t="s">
        <v>2397</v>
      </c>
      <c r="C39" s="276">
        <f ca="1">ROUND(C33*F20,0)</f>
        <v>17</v>
      </c>
      <c r="D39" s="276"/>
      <c r="E39" s="276"/>
      <c r="F39" s="277"/>
      <c r="G39" s="278" t="s">
        <v>2398</v>
      </c>
    </row>
    <row r="40" spans="1:7" s="258" customFormat="1" ht="13.5" customHeight="1">
      <c r="A40" s="299" t="s">
        <v>2399</v>
      </c>
      <c r="B40" s="254" t="s">
        <v>2400</v>
      </c>
      <c r="C40" s="1728">
        <f>F21</f>
        <v>0.01</v>
      </c>
      <c r="D40" s="280" t="s">
        <v>2401</v>
      </c>
      <c r="E40" s="276"/>
      <c r="F40" s="277"/>
      <c r="G40" s="278" t="s">
        <v>2402</v>
      </c>
    </row>
    <row r="41" spans="1:7" s="258" customFormat="1" ht="13.5" customHeight="1">
      <c r="A41" s="299" t="s">
        <v>2403</v>
      </c>
      <c r="B41" s="254" t="s">
        <v>2404</v>
      </c>
      <c r="C41" s="276">
        <f ca="1">ROUND(SUM(C42:C43),0)</f>
        <v>60</v>
      </c>
      <c r="D41" s="279">
        <f ca="1">C44</f>
        <v>4.0000000000000002E-4</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59</v>
      </c>
      <c r="D42" s="282"/>
      <c r="E42" s="282"/>
      <c r="F42" s="283"/>
      <c r="G42" s="3152" t="s">
        <v>2406</v>
      </c>
    </row>
    <row r="43" spans="1:7" ht="13.5" customHeight="1">
      <c r="A43" s="951" t="s">
        <v>792</v>
      </c>
      <c r="B43" s="259" t="s">
        <v>2407</v>
      </c>
      <c r="C43" s="282">
        <f ca="1">ROUND(IF('数据-取费表'!B22&lt;=1,C39*F22*'数据-取费表'!B21/2,C39*(POWER((1+F22),'数据-取费表'!B21/2)-1)),0)</f>
        <v>1</v>
      </c>
      <c r="D43" s="282"/>
      <c r="E43" s="282"/>
      <c r="F43" s="283"/>
      <c r="G43" s="3153"/>
    </row>
    <row r="44" spans="1:7" ht="13.5" customHeight="1">
      <c r="A44" s="951" t="s">
        <v>793</v>
      </c>
      <c r="B44" s="259" t="s">
        <v>2408</v>
      </c>
      <c r="C44" s="282">
        <f ca="1">ROUND(IF('数据-取费表'!B22&lt;=1,C40*F22*'数据-取费表'!B21/2,C40*(POWER((1+F22),'数据-取费表'!B21/2)-1)),4)</f>
        <v>4.0000000000000002E-4</v>
      </c>
      <c r="D44" s="282"/>
      <c r="E44" s="282"/>
      <c r="F44" s="283"/>
      <c r="G44" s="3154"/>
    </row>
    <row r="45" spans="1:7" s="258" customFormat="1" ht="13.5" customHeight="1">
      <c r="A45" s="299" t="s">
        <v>2409</v>
      </c>
      <c r="B45" s="288" t="s">
        <v>2375</v>
      </c>
      <c r="C45" s="289">
        <f ca="1">C46</f>
        <v>339</v>
      </c>
      <c r="D45" s="279">
        <f ca="1">C47</f>
        <v>2E-3</v>
      </c>
      <c r="E45" s="280" t="s">
        <v>2401</v>
      </c>
      <c r="F45" s="290"/>
      <c r="G45" s="291" t="s">
        <v>2410</v>
      </c>
    </row>
    <row r="46" spans="1:7" s="258" customFormat="1" ht="13.5" customHeight="1">
      <c r="A46" s="951" t="s">
        <v>791</v>
      </c>
      <c r="B46" s="292" t="s">
        <v>2411</v>
      </c>
      <c r="C46" s="293">
        <f ca="1">ROUND((C33+C39)*F27,0)</f>
        <v>339</v>
      </c>
      <c r="D46" s="307"/>
      <c r="E46" s="280"/>
      <c r="F46" s="290"/>
      <c r="G46" s="291"/>
    </row>
    <row r="47" spans="1:7" s="258" customFormat="1" ht="13.5" customHeight="1">
      <c r="A47" s="951" t="s">
        <v>792</v>
      </c>
      <c r="B47" s="292" t="s">
        <v>2412</v>
      </c>
      <c r="C47" s="282">
        <f ca="1">ROUND(C40*F27,4)</f>
        <v>2E-3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2241</v>
      </c>
      <c r="D49" s="276"/>
      <c r="E49" s="276"/>
      <c r="F49" s="308"/>
      <c r="G49" s="278" t="s">
        <v>2416</v>
      </c>
    </row>
    <row r="50" spans="1:7" s="302" customFormat="1" ht="24">
      <c r="A50" s="299" t="s">
        <v>2417</v>
      </c>
      <c r="B50" s="254" t="s">
        <v>2418</v>
      </c>
      <c r="C50" s="276"/>
      <c r="D50" s="276"/>
      <c r="E50" s="276"/>
      <c r="F50" s="308">
        <f>IF('数据-取费表'!B24=0,'数据-取费表'!N16,1)</f>
        <v>0.75</v>
      </c>
      <c r="G50" s="291" t="s">
        <v>2419</v>
      </c>
    </row>
    <row r="51" spans="1:7" ht="16.5" customHeight="1">
      <c r="A51" s="299" t="s">
        <v>2420</v>
      </c>
      <c r="B51" s="254" t="s">
        <v>2421</v>
      </c>
      <c r="C51" s="276">
        <f ca="1">ROUND(C49*F50,0)</f>
        <v>1681</v>
      </c>
      <c r="D51" s="276"/>
      <c r="E51" s="276"/>
      <c r="F51" s="308"/>
      <c r="G51" s="278" t="s">
        <v>2422</v>
      </c>
    </row>
    <row r="52" spans="1:7" s="252" customFormat="1" ht="16.5" thickBot="1">
      <c r="A52" s="309" t="s">
        <v>2423</v>
      </c>
      <c r="B52" s="310"/>
      <c r="C52" s="311">
        <f ca="1">C31+C51</f>
        <v>18924</v>
      </c>
      <c r="D52" s="310"/>
      <c r="E52" s="310"/>
      <c r="F52" s="310"/>
      <c r="G52" s="312"/>
    </row>
    <row r="55" spans="1:7" ht="15">
      <c r="B55" s="314" t="s">
        <v>2424</v>
      </c>
      <c r="C55" s="315"/>
    </row>
    <row r="56" spans="1:7">
      <c r="B56" s="317" t="s">
        <v>1507</v>
      </c>
      <c r="C56" s="319">
        <f ca="1">1-C57</f>
        <v>0.91100000000000003</v>
      </c>
    </row>
    <row r="57" spans="1:7">
      <c r="B57" s="317" t="s">
        <v>1508</v>
      </c>
      <c r="C57" s="318">
        <f ca="1">ROUND(C51/C52,3)</f>
        <v>8.8999999999999996E-2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E42" activeCellId="1" sqref="B49 E42"/>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6" t="str">
        <f>项目基本情况!B1</f>
        <v>北京市海淀区中关村大街18号五层部分综合用房房地产抵押价值预评估</v>
      </c>
      <c r="C37" s="2966"/>
      <c r="D37" s="2966"/>
      <c r="E37" s="2966"/>
      <c r="F37" s="2966"/>
      <c r="G37" s="2966"/>
      <c r="H37" s="2966"/>
      <c r="I37" s="2966"/>
    </row>
    <row r="38" spans="1:9">
      <c r="A38" s="1016"/>
      <c r="B38" s="1016"/>
    </row>
    <row r="39" spans="1:9">
      <c r="A39" s="1014" t="s">
        <v>818</v>
      </c>
      <c r="B39" s="1014" t="s">
        <v>820</v>
      </c>
    </row>
    <row r="40" spans="1:9">
      <c r="A40" s="1014"/>
      <c r="B40" s="1941" t="str">
        <f>项目基本情况!B5</f>
        <v>北京中关村科技发展（控股）股份有限公司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王鹏（注册号：1120050019)、崔锴（注册号：1120100036)</v>
      </c>
    </row>
    <row r="47" spans="1:9">
      <c r="A47" s="1014"/>
      <c r="B47" s="1014" t="str">
        <f>项目基本情况!K5</f>
        <v/>
      </c>
    </row>
    <row r="48" spans="1:9">
      <c r="A48" s="1014" t="s">
        <v>818</v>
      </c>
      <c r="B48" s="1014" t="s">
        <v>824</v>
      </c>
    </row>
    <row r="49" spans="2:2">
      <c r="B49" s="1941" t="str">
        <f>"康正预评字"&amp;项目基本情况!B2&amp;"号"</f>
        <v>康正预评字2019-1-0658-F01DYGJ1号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P62" sqref="P62"/>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2" customWidth="1"/>
    <col min="33" max="36" width="9.375" style="2787" customWidth="1"/>
    <col min="37" max="38" width="9.375" style="2719" customWidth="1"/>
    <col min="39" max="16384" width="12" style="2719"/>
  </cols>
  <sheetData>
    <row r="1" spans="1:36" ht="28.5">
      <c r="A1" s="240" t="s">
        <v>2801</v>
      </c>
      <c r="B1" s="241"/>
      <c r="C1" s="245" t="s">
        <v>2802</v>
      </c>
      <c r="D1" s="388">
        <f>SUM(D29:D30,D33:D39)</f>
        <v>5028.579999999999</v>
      </c>
      <c r="E1" s="2716"/>
      <c r="F1" s="2716"/>
      <c r="G1" s="2716"/>
      <c r="H1" s="2716"/>
      <c r="I1" s="2716"/>
      <c r="J1" s="2716"/>
      <c r="K1" s="1370"/>
      <c r="L1" s="2717" t="s">
        <v>2803</v>
      </c>
      <c r="M1" s="1080">
        <f>SUMPRODUCT((区片价!B5:B9=I2)*(区片价!C3:F3=E2)*(区片价!C5:F9))</f>
        <v>0</v>
      </c>
      <c r="N1" s="1083">
        <f>SUMPRODUCT((因素修正幅度!B5:B9=I2)*(因素修正幅度!C3:F3=E2)*(因素修正幅度!C5:F9))</f>
        <v>0</v>
      </c>
      <c r="O1" s="2718"/>
      <c r="P1" s="2718"/>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75">
      <c r="A2" s="245" t="s">
        <v>2809</v>
      </c>
      <c r="B2" s="248">
        <f ca="1">C26</f>
        <v>12074</v>
      </c>
      <c r="C2" s="2720" t="s">
        <v>2810</v>
      </c>
      <c r="D2" s="2721" t="s">
        <v>2811</v>
      </c>
      <c r="E2" s="2722" t="s">
        <v>27</v>
      </c>
      <c r="F2" s="2721" t="s">
        <v>2812</v>
      </c>
      <c r="G2" s="2723" t="str">
        <f>IF(E2="商业",项目基本情况!B37,IF(E2="办公",项目基本情况!C37,IF(E2="住宅",项目基本情况!D37,项目基本情况!E37)))</f>
        <v>二级</v>
      </c>
      <c r="H2" s="2721" t="s">
        <v>2813</v>
      </c>
      <c r="I2" s="2723" t="str">
        <f>IF(E2="商业",项目基本情况!B38,IF(E2="办公",项目基本情况!C38,IF(E2="住宅",项目基本情况!D38,项目基本情况!E38)))</f>
        <v>Ⅱ—03</v>
      </c>
      <c r="J2" s="2724"/>
      <c r="K2" s="1370"/>
      <c r="L2" s="2725" t="s">
        <v>2814</v>
      </c>
      <c r="M2" s="1081">
        <f>SUMPRODUCT((区片价!B10:B28=I2)*(区片价!C3:F3=E2)*(区片价!C10:F28))</f>
        <v>23180</v>
      </c>
      <c r="N2" s="1083">
        <f>SUMPRODUCT((因素修正幅度!B10:B28=I2)*(因素修正幅度!C3:F3=E2)*(因素修正幅度!C10:F28))</f>
        <v>7.0999999999999994E-2</v>
      </c>
      <c r="O2" s="1370"/>
      <c r="P2" s="1370"/>
      <c r="Q2" s="1370"/>
      <c r="R2" s="1602">
        <v>1</v>
      </c>
      <c r="S2" s="1602">
        <f>ROUND(IF(G3&gt;1,IF(R2&lt;7,SUMPRODUCT((B93:B98=R2)*(C92:N92=G2)*(C93:N98)),SUMIF(C92:N92,G2,C100:N100)),IF(R2&lt;7,SUMPRODUCT((B102:B107=R2)*(C92:N92=G2)*(C102:N107)),SUMIF(C92:N92,G2,C109:N109))),4)</f>
        <v>1.9361999999999999</v>
      </c>
      <c r="T2" s="1602">
        <f ca="1">ROUND($C$5*$C$18*$C$19*$C$20*S2*$C$24,0)</f>
        <v>55182</v>
      </c>
      <c r="U2" s="1603"/>
      <c r="V2" s="1602">
        <f ca="1">ROUND(T2*U2/10000,0)</f>
        <v>0</v>
      </c>
      <c r="W2" s="1606"/>
      <c r="X2" s="1606"/>
      <c r="Y2" s="1606"/>
      <c r="Z2" s="1606"/>
      <c r="AA2" s="1606"/>
      <c r="AB2" s="1606"/>
      <c r="AC2" s="1607"/>
      <c r="AD2" s="1608"/>
      <c r="AE2" s="1608"/>
      <c r="AF2" s="1608"/>
      <c r="AG2" s="1608"/>
      <c r="AH2" s="1608"/>
      <c r="AI2" s="1608"/>
      <c r="AJ2" s="1609"/>
    </row>
    <row r="3" spans="1:36" ht="25.5">
      <c r="A3" s="247" t="s">
        <v>2815</v>
      </c>
      <c r="B3" s="248">
        <f ca="1">ROUND(B2*10000/D1,0)</f>
        <v>24011</v>
      </c>
      <c r="C3" s="2720" t="s">
        <v>2816</v>
      </c>
      <c r="D3" s="2721" t="s">
        <v>2817</v>
      </c>
      <c r="E3" s="2726" t="s">
        <v>3078</v>
      </c>
      <c r="F3" s="2727" t="s">
        <v>2818</v>
      </c>
      <c r="G3" s="916">
        <f>IF(F3="宗地容积率",'数据-汇总表'!I4,IF(F3="估价对象容积率",'数据-汇总表'!I6,'数据-汇总表'!I7))</f>
        <v>8.92</v>
      </c>
      <c r="H3" s="198" t="s">
        <v>2819</v>
      </c>
      <c r="I3" s="944"/>
      <c r="J3" s="2724" t="s">
        <v>2820</v>
      </c>
      <c r="K3" s="1370"/>
      <c r="L3" s="2725"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1.4198</v>
      </c>
      <c r="T3" s="1602">
        <f t="shared" ref="T3:T16" ca="1" si="0">ROUND($C$5*$C$18*$C$19*$C$20*S3*$C$24,0)</f>
        <v>40464</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58"/>
      <c r="B4" s="3159"/>
      <c r="C4" s="3159"/>
      <c r="D4" s="3160"/>
      <c r="E4" s="3160"/>
      <c r="F4" s="3160"/>
      <c r="G4" s="3160"/>
      <c r="H4" s="3160"/>
      <c r="I4" s="3160"/>
      <c r="J4" s="3161"/>
      <c r="K4" s="1370"/>
      <c r="L4" s="2725"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1.1594</v>
      </c>
      <c r="T4" s="1602">
        <f t="shared" ca="1" si="0"/>
        <v>33043</v>
      </c>
      <c r="U4" s="1603"/>
      <c r="V4" s="1602">
        <f t="shared" ca="1" si="1"/>
        <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2823</v>
      </c>
      <c r="C5" s="917">
        <f>ROUND(IF(E2="商业",C6*C7+C16,(IF(E2="住宅",C6*C12+C16,C6+C16))),0)</f>
        <v>23149</v>
      </c>
      <c r="D5" s="1787">
        <f>ROUND(C6+C16,0)</f>
        <v>23149</v>
      </c>
      <c r="E5" s="1787"/>
      <c r="F5" s="2730"/>
      <c r="G5" s="2731"/>
      <c r="H5" s="2731"/>
      <c r="I5" s="2731"/>
      <c r="J5" s="2732"/>
      <c r="K5" s="2733"/>
      <c r="L5" s="2725" t="s">
        <v>2824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0.96220000000000006</v>
      </c>
      <c r="T5" s="1602">
        <f t="shared" ca="1" si="0"/>
        <v>27423</v>
      </c>
      <c r="U5" s="1603"/>
      <c r="V5" s="1602">
        <f t="shared" ca="1" si="1"/>
        <v>0</v>
      </c>
      <c r="W5" s="1606"/>
      <c r="X5" s="1606"/>
      <c r="Y5" s="1606"/>
      <c r="Z5" s="1606"/>
      <c r="AA5" s="1606"/>
      <c r="AB5" s="1606"/>
      <c r="AC5" s="2734"/>
      <c r="AD5" s="2735"/>
      <c r="AE5" s="2735"/>
      <c r="AF5" s="2735"/>
      <c r="AG5" s="2735"/>
      <c r="AH5" s="2735"/>
      <c r="AI5" s="2735"/>
      <c r="AJ5" s="2736"/>
    </row>
    <row r="6" spans="1:36" ht="15.75" thickBot="1">
      <c r="A6" s="2738" t="s">
        <v>2825</v>
      </c>
      <c r="B6" s="2739" t="s">
        <v>2826</v>
      </c>
      <c r="C6" s="918">
        <f>SUMIF(L1:L12,G2,M1:M12)</f>
        <v>23180</v>
      </c>
      <c r="D6" s="2740" t="s">
        <v>2827</v>
      </c>
      <c r="E6" s="2741"/>
      <c r="F6" s="2741"/>
      <c r="G6" s="2742"/>
      <c r="H6" s="2742"/>
      <c r="I6" s="2742"/>
      <c r="J6" s="2743"/>
      <c r="K6" s="1842"/>
      <c r="L6" s="2725"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0.8417</v>
      </c>
      <c r="T6" s="1602">
        <f t="shared" ca="1" si="0"/>
        <v>23988</v>
      </c>
      <c r="U6" s="1603"/>
      <c r="V6" s="1602">
        <f t="shared" ca="1" si="1"/>
        <v>0</v>
      </c>
      <c r="W6" s="1606"/>
      <c r="X6" s="1606"/>
      <c r="Y6" s="1606"/>
      <c r="Z6" s="1606"/>
      <c r="AA6" s="1606"/>
      <c r="AB6" s="1606"/>
      <c r="AC6" s="2734"/>
      <c r="AD6" s="2735"/>
      <c r="AE6" s="2735"/>
      <c r="AF6" s="2735"/>
      <c r="AG6" s="2735"/>
      <c r="AH6" s="2735"/>
      <c r="AI6" s="2735"/>
      <c r="AJ6" s="2736"/>
    </row>
    <row r="7" spans="1:36" ht="24">
      <c r="A7" s="3162" t="str">
        <f>IF(E2="商业",IF(C8="不临58条商业街","",2),"")</f>
        <v/>
      </c>
      <c r="B7" s="2744" t="s">
        <v>2829</v>
      </c>
      <c r="C7" s="919">
        <f>IF(C8="不临58条商业街",1,ROUND(1+(1.6*E8+1.2*E9+0.8*E10+0.4*E11)*C9,4))</f>
        <v>1</v>
      </c>
      <c r="D7" s="2745" t="s">
        <v>2830</v>
      </c>
      <c r="E7" s="945"/>
      <c r="F7" s="2746"/>
      <c r="G7" s="2747"/>
      <c r="H7" s="2747"/>
      <c r="I7" s="2747"/>
      <c r="J7" s="2748"/>
      <c r="K7" s="1842"/>
      <c r="L7" s="2725"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0.76080000000000003</v>
      </c>
      <c r="T7" s="1602">
        <f t="shared" ca="1" si="0"/>
        <v>21683</v>
      </c>
      <c r="U7" s="1603"/>
      <c r="V7" s="1602">
        <f t="shared" ca="1" si="1"/>
        <v>0</v>
      </c>
      <c r="W7" s="1816" t="s">
        <v>2832</v>
      </c>
      <c r="X7" s="1604" t="str">
        <f>G2</f>
        <v>二级</v>
      </c>
      <c r="Y7" s="1604" t="s">
        <v>2833</v>
      </c>
      <c r="Z7" s="1605">
        <f>G3</f>
        <v>8.92</v>
      </c>
      <c r="AA7" s="1606"/>
      <c r="AB7" s="1606"/>
      <c r="AC7" s="1607"/>
      <c r="AD7" s="1608"/>
      <c r="AE7" s="1608"/>
      <c r="AF7" s="1608"/>
      <c r="AG7" s="1608"/>
      <c r="AH7" s="1608"/>
      <c r="AI7" s="1608"/>
      <c r="AJ7" s="1609"/>
    </row>
    <row r="8" spans="1:36" ht="25.5">
      <c r="A8" s="3163"/>
      <c r="B8" s="198" t="s">
        <v>2834</v>
      </c>
      <c r="C8" s="2749" t="s">
        <v>3079</v>
      </c>
      <c r="D8" s="920" t="s">
        <v>139</v>
      </c>
      <c r="E8" s="921" t="e">
        <f>ROUND(C11/E7,4)</f>
        <v>#DIV/0!</v>
      </c>
      <c r="F8" s="2750" t="s">
        <v>2835</v>
      </c>
      <c r="G8" s="2751"/>
      <c r="H8" s="2751"/>
      <c r="I8" s="2751"/>
      <c r="J8" s="2752"/>
      <c r="K8" s="1370"/>
      <c r="L8" s="2725" t="s">
        <v>2836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55" t="s">
        <v>2837</v>
      </c>
      <c r="X8" s="3156"/>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
      <c r="A9" s="3163"/>
      <c r="B9" s="198" t="s">
        <v>2850</v>
      </c>
      <c r="C9" s="922">
        <f>SUMIF(修正!C59:C119,C8,修正!E59:E119)</f>
        <v>0</v>
      </c>
      <c r="D9" s="200" t="s">
        <v>140</v>
      </c>
      <c r="E9" s="200" t="e">
        <f>ROUND(C11/E7,4)</f>
        <v>#DIV/0!</v>
      </c>
      <c r="F9" s="2750" t="s">
        <v>2851</v>
      </c>
      <c r="G9" s="2751"/>
      <c r="H9" s="2751"/>
      <c r="I9" s="2751"/>
      <c r="J9" s="2752"/>
      <c r="K9" s="1370"/>
      <c r="L9" s="2725" t="s">
        <v>2852</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57" t="s">
        <v>2853</v>
      </c>
      <c r="X9" s="1611" t="s">
        <v>2854</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63"/>
      <c r="B10" s="198" t="s">
        <v>2855</v>
      </c>
      <c r="C10" s="200">
        <f>SUMIF(修正!C59:C119,C8,修正!F59:F119)</f>
        <v>0</v>
      </c>
      <c r="D10" s="200" t="s">
        <v>141</v>
      </c>
      <c r="E10" s="200" t="e">
        <f>ROUND(C11/E7,4)</f>
        <v>#DIV/0!</v>
      </c>
      <c r="F10" s="2750" t="s">
        <v>2856</v>
      </c>
      <c r="G10" s="2751"/>
      <c r="H10" s="2751"/>
      <c r="I10" s="2751"/>
      <c r="J10" s="2752"/>
      <c r="K10" s="1370"/>
      <c r="L10" s="2725" t="s">
        <v>2857</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5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63"/>
      <c r="B11" s="2753" t="s">
        <v>2858</v>
      </c>
      <c r="C11" s="923">
        <f>C10/4</f>
        <v>0</v>
      </c>
      <c r="D11" s="923" t="s">
        <v>142</v>
      </c>
      <c r="E11" s="923" t="e">
        <f>ROUND(C11/E7,4)</f>
        <v>#DIV/0!</v>
      </c>
      <c r="F11" s="2754" t="s">
        <v>2859</v>
      </c>
      <c r="G11" s="2755"/>
      <c r="H11" s="2755"/>
      <c r="I11" s="2755"/>
      <c r="J11" s="2756"/>
      <c r="K11" s="1370"/>
      <c r="L11" s="2725" t="s">
        <v>2860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57" t="s">
        <v>2861</v>
      </c>
      <c r="X11" s="1614" t="s">
        <v>2862</v>
      </c>
      <c r="Y11" s="1615">
        <f>$G$3</f>
        <v>8.92</v>
      </c>
      <c r="Z11" s="1615">
        <f t="shared" ref="Z11:AJ11" si="3">$G$3</f>
        <v>8.92</v>
      </c>
      <c r="AA11" s="1615">
        <f t="shared" si="3"/>
        <v>8.92</v>
      </c>
      <c r="AB11" s="1615">
        <f t="shared" si="3"/>
        <v>8.92</v>
      </c>
      <c r="AC11" s="1615">
        <f t="shared" si="3"/>
        <v>8.92</v>
      </c>
      <c r="AD11" s="1615">
        <f t="shared" si="3"/>
        <v>8.92</v>
      </c>
      <c r="AE11" s="1615">
        <f t="shared" si="3"/>
        <v>8.92</v>
      </c>
      <c r="AF11" s="1615">
        <f t="shared" si="3"/>
        <v>8.92</v>
      </c>
      <c r="AG11" s="1615">
        <f t="shared" si="3"/>
        <v>8.92</v>
      </c>
      <c r="AH11" s="1615">
        <f t="shared" si="3"/>
        <v>8.92</v>
      </c>
      <c r="AI11" s="1615">
        <f t="shared" si="3"/>
        <v>8.92</v>
      </c>
      <c r="AJ11" s="1615">
        <f t="shared" si="3"/>
        <v>8.92</v>
      </c>
    </row>
    <row r="12" spans="1:36" ht="25.5" thickBot="1">
      <c r="A12" s="3162" t="s">
        <v>2863</v>
      </c>
      <c r="B12" s="2757" t="s">
        <v>2864</v>
      </c>
      <c r="C12" s="919">
        <f>ROUND(C15*D15*E15*F15*G15*H15*I15*J15,4)</f>
        <v>1</v>
      </c>
      <c r="D12" s="2758" t="s">
        <v>2865</v>
      </c>
      <c r="E12" s="2759"/>
      <c r="F12" s="2759"/>
      <c r="G12" s="2760"/>
      <c r="H12" s="2760"/>
      <c r="I12" s="2760"/>
      <c r="J12" s="2761"/>
      <c r="K12" s="1370"/>
      <c r="L12" s="2762" t="s">
        <v>2866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57"/>
      <c r="X12" s="1616" t="s">
        <v>2867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64"/>
      <c r="B13" s="2763" t="s">
        <v>2868</v>
      </c>
      <c r="C13" s="2764" t="s">
        <v>2869</v>
      </c>
      <c r="D13" s="1808" t="s">
        <v>2870</v>
      </c>
      <c r="E13" s="1808" t="s">
        <v>2871</v>
      </c>
      <c r="F13" s="30" t="s">
        <v>2872</v>
      </c>
      <c r="G13" s="2765" t="s">
        <v>2873</v>
      </c>
      <c r="H13" s="2765" t="s">
        <v>2873</v>
      </c>
      <c r="I13" s="2765" t="s">
        <v>2873</v>
      </c>
      <c r="J13" s="2766" t="s">
        <v>2873</v>
      </c>
      <c r="K13" s="1370"/>
      <c r="L13" s="1370"/>
      <c r="M13" s="1370"/>
      <c r="N13" s="1370"/>
      <c r="O13" s="1370"/>
      <c r="P13" s="1370"/>
      <c r="Q13" s="1370"/>
      <c r="R13" s="1602">
        <v>12</v>
      </c>
      <c r="S13" s="1603"/>
      <c r="T13" s="1602">
        <f t="shared" ca="1" si="0"/>
        <v>0</v>
      </c>
      <c r="U13" s="1603"/>
      <c r="V13" s="1602">
        <f t="shared" ca="1" si="1"/>
        <v>0</v>
      </c>
      <c r="W13" s="3157"/>
      <c r="X13" s="1616"/>
      <c r="Y13" s="1613">
        <f>(-0.163*(Y12^2)-0.59*Y12+7617)*(10^(-4))/Y11</f>
        <v>8.5392376681614354E-2</v>
      </c>
      <c r="Z13" s="1613">
        <f t="shared" ref="Z13:AJ13" si="5">(-0.163*(Z12^2)-0.59*Z12+7617)*(10^(-4))/Z11</f>
        <v>8.5392376681614354E-2</v>
      </c>
      <c r="AA13" s="1613">
        <f t="shared" si="5"/>
        <v>8.5392376681614354E-2</v>
      </c>
      <c r="AB13" s="1613">
        <f t="shared" si="5"/>
        <v>8.5392376681614354E-2</v>
      </c>
      <c r="AC13" s="1613">
        <f t="shared" si="5"/>
        <v>8.5392376681614354E-2</v>
      </c>
      <c r="AD13" s="1613">
        <f t="shared" si="5"/>
        <v>8.5392376681614354E-2</v>
      </c>
      <c r="AE13" s="1613">
        <f t="shared" si="5"/>
        <v>8.5392376681614354E-2</v>
      </c>
      <c r="AF13" s="1613">
        <f t="shared" si="5"/>
        <v>8.5392376681614354E-2</v>
      </c>
      <c r="AG13" s="1613">
        <f t="shared" si="5"/>
        <v>8.5392376681614354E-2</v>
      </c>
      <c r="AH13" s="1613">
        <f t="shared" si="5"/>
        <v>8.5392376681614354E-2</v>
      </c>
      <c r="AI13" s="1613">
        <f t="shared" si="5"/>
        <v>8.5392376681614354E-2</v>
      </c>
      <c r="AJ13" s="1613">
        <f t="shared" si="5"/>
        <v>8.5392376681614354E-2</v>
      </c>
    </row>
    <row r="14" spans="1:36" ht="15">
      <c r="A14" s="3164"/>
      <c r="B14" s="2767"/>
      <c r="C14" s="2768"/>
      <c r="D14" s="2769"/>
      <c r="E14" s="2769"/>
      <c r="F14" s="2770"/>
      <c r="G14" s="2771" t="s">
        <v>2874</v>
      </c>
      <c r="H14" s="2772"/>
      <c r="I14" s="2773"/>
      <c r="J14" s="2774"/>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65"/>
      <c r="B15" s="2775"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thickBot="1">
      <c r="A16" s="3162" t="s">
        <v>2880</v>
      </c>
      <c r="B16" s="2744" t="s">
        <v>2881</v>
      </c>
      <c r="C16" s="2942">
        <f>ROUND(IF(F17="与级别开发程度一致",0,(G17-E17)/C17),0)</f>
        <v>-31</v>
      </c>
      <c r="D16" s="3176" t="s">
        <v>2885</v>
      </c>
      <c r="E16" s="3177"/>
      <c r="F16" s="3176" t="s">
        <v>2882</v>
      </c>
      <c r="G16" s="3177"/>
      <c r="H16" s="2778" t="s">
        <v>3080</v>
      </c>
      <c r="I16" s="2778" t="s">
        <v>3081</v>
      </c>
      <c r="J16" s="2934" t="s">
        <v>3082</v>
      </c>
      <c r="K16" s="2778" t="s">
        <v>3083</v>
      </c>
      <c r="L16" s="2778" t="s">
        <v>3084</v>
      </c>
      <c r="M16" s="2778" t="s">
        <v>3146</v>
      </c>
      <c r="N16" s="2778"/>
      <c r="O16" s="2779"/>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66"/>
      <c r="B17" s="2941" t="s">
        <v>2884</v>
      </c>
      <c r="C17" s="2942">
        <f>SUMPRODUCT((修正!A2:A5=E2)*(修正!B1:M1=G2)*(修正!B2:M5))</f>
        <v>3.5</v>
      </c>
      <c r="D17" s="229" t="str">
        <f>IF(OR(G2="八级",G2="九级",G2="十级",G2="十一级",G2="十二级"),"五通一平","七通一平")</f>
        <v>七通一平</v>
      </c>
      <c r="E17" s="2931">
        <f>SUMPRODUCT((修正!B1:M1=G2)*(修正!B15:M15))</f>
        <v>375</v>
      </c>
      <c r="F17" s="2932" t="s">
        <v>3085</v>
      </c>
      <c r="G17" s="2933">
        <f>SUM(H17:O17)</f>
        <v>265</v>
      </c>
      <c r="H17" s="2942">
        <f>SUMPRODUCT((七通一平=H16)*(修正!B1:M1=G2)*(修正!B6:M14))</f>
        <v>80</v>
      </c>
      <c r="I17" s="2942">
        <f>SUMPRODUCT((七通一平=I16)*(修正!B1:M1=G2)*(修正!B6:M14))</f>
        <v>70</v>
      </c>
      <c r="J17" s="2943">
        <f>SUMPRODUCT((七通一平=J16)*(修正!B1:M1=G2)*(修正!B6:M14))</f>
        <v>20</v>
      </c>
      <c r="K17" s="2942">
        <f>SUMPRODUCT((七通一平=K16)*(修正!B1:M1=G2)*(修正!B6:M14))</f>
        <v>30</v>
      </c>
      <c r="L17" s="2942">
        <f>SUMPRODUCT((七通一平=L16)*(修正!B1:M1=G2)*(修正!B6:M14))</f>
        <v>45</v>
      </c>
      <c r="M17" s="2942">
        <f>SUMPRODUCT((七通一平=M16)*(修正!B1:M1=G2)*(修正!B6:M14))</f>
        <v>20</v>
      </c>
      <c r="N17" s="2942">
        <f>SUMPRODUCT((七通一平=N16)*(修正!B1:M1=G2)*(修正!B6:M14))</f>
        <v>0</v>
      </c>
      <c r="O17" s="2944">
        <f>SUMPRODUCT((七通一平=O16)*(修正!B1:M1=G2)*(修正!B6:M14))</f>
        <v>0</v>
      </c>
      <c r="Q17" s="1370"/>
      <c r="R17" s="1370"/>
      <c r="S17" s="1370"/>
      <c r="T17" s="1370"/>
      <c r="U17" s="1370"/>
      <c r="V17" s="1370"/>
      <c r="W17" s="1370"/>
      <c r="X17" s="1370"/>
      <c r="Y17" s="1370"/>
      <c r="Z17" s="1371"/>
      <c r="AE17" s="2782"/>
      <c r="AF17" s="2782"/>
      <c r="AG17" s="2719"/>
      <c r="AH17" s="2719"/>
      <c r="AI17" s="2719"/>
      <c r="AJ17" s="2719"/>
    </row>
    <row r="18" spans="1:37" s="2737" customFormat="1" ht="15.75" thickBot="1">
      <c r="A18" s="2935" t="s">
        <v>808</v>
      </c>
      <c r="B18" s="2936" t="s">
        <v>2887</v>
      </c>
      <c r="C18" s="2937">
        <f>SUMIF(修正!C18:C39,E3,修正!E18:E39)</f>
        <v>1</v>
      </c>
      <c r="D18" s="2938"/>
      <c r="E18" s="2939"/>
      <c r="F18" s="2939"/>
      <c r="G18" s="2939"/>
      <c r="H18" s="2939"/>
      <c r="I18" s="2939"/>
      <c r="J18" s="2940"/>
      <c r="K18" s="1377"/>
      <c r="O18" s="1375"/>
      <c r="P18" s="1375"/>
      <c r="Q18" s="1376"/>
      <c r="R18" s="1376"/>
      <c r="S18" s="1376"/>
      <c r="T18" s="1371"/>
      <c r="U18" s="1371"/>
      <c r="V18" s="1371"/>
      <c r="W18" s="1370"/>
      <c r="X18" s="1370"/>
      <c r="Y18" s="1370"/>
      <c r="Z18" s="1377"/>
      <c r="AA18" s="1378"/>
      <c r="AB18" s="1378"/>
      <c r="AC18" s="1378"/>
      <c r="AD18" s="1378"/>
      <c r="AE18" s="1372"/>
      <c r="AF18" s="1372"/>
      <c r="AG18" s="2787"/>
      <c r="AH18" s="2787"/>
      <c r="AI18" s="2787"/>
    </row>
    <row r="19" spans="1:37" s="2737" customFormat="1" ht="29.25" thickBot="1">
      <c r="A19" s="2783" t="s">
        <v>809</v>
      </c>
      <c r="B19" s="2784" t="s">
        <v>2888</v>
      </c>
      <c r="C19" s="924">
        <f>ROUND(IF(H19="按公示增长率计算",SUMPRODUCT((地价!A3:A28=YEAR(G19)&amp;"-"&amp;ROUNDUP(MONTH(G19)/3,0))*(地价!X2:AB2=E2)*(地价!X3:AB28)),IF(H19="地价指数",M20/M19,(1+I19)^O19)),4)</f>
        <v>1.3649</v>
      </c>
      <c r="D19" s="2788" t="s">
        <v>2889</v>
      </c>
      <c r="E19" s="925">
        <v>41640</v>
      </c>
      <c r="F19" s="2788" t="s">
        <v>2890</v>
      </c>
      <c r="G19" s="926">
        <f>'数据-取费表'!B2</f>
        <v>43774</v>
      </c>
      <c r="H19" s="2789" t="s">
        <v>3086</v>
      </c>
      <c r="I19" s="927" t="str">
        <f>IF(H19="季度增幅（自定义）",SUMIF(N21:N24,E2,O21:O24),"")</f>
        <v/>
      </c>
      <c r="J19" s="2786"/>
      <c r="K19" s="1377"/>
      <c r="L19" s="2790" t="s">
        <v>2891</v>
      </c>
      <c r="M19" s="1734">
        <f>ROUND(SUMIF(地价!B2:F2,E2,地价!B28:F28),0)</f>
        <v>258</v>
      </c>
      <c r="N19" s="2791" t="s">
        <v>2892</v>
      </c>
      <c r="O19" s="928">
        <f>ROUNDDOWN(DATEDIF(E19,G19,"M")/3,0)</f>
        <v>23</v>
      </c>
      <c r="P19" s="1374"/>
      <c r="Q19" s="1376"/>
      <c r="R19" s="1376"/>
      <c r="S19" s="1376"/>
      <c r="T19" s="1371"/>
      <c r="U19" s="1371"/>
      <c r="V19" s="1371"/>
      <c r="W19" s="1370"/>
      <c r="X19" s="1370"/>
      <c r="Y19" s="1370"/>
      <c r="Z19" s="1377"/>
      <c r="AA19" s="1378"/>
      <c r="AB19" s="1378"/>
      <c r="AC19" s="1378"/>
      <c r="AD19" s="1378"/>
      <c r="AE19" s="1378"/>
      <c r="AF19" s="2792"/>
      <c r="AG19" s="2793"/>
      <c r="AH19" s="2787"/>
      <c r="AI19" s="2794"/>
      <c r="AJ19" s="2794"/>
      <c r="AK19" s="2794"/>
    </row>
    <row r="20" spans="1:37" s="2737" customFormat="1" ht="27.75" thickBot="1">
      <c r="A20" s="2795" t="s">
        <v>810</v>
      </c>
      <c r="B20" s="2796" t="s">
        <v>2893</v>
      </c>
      <c r="C20" s="929">
        <f ca="1">ROUND(POWER(1+G20,J20-I20)*(POWER(1+G20,I20)-1)/(POWER(1+G20,J20)-1),4)</f>
        <v>0.8679</v>
      </c>
      <c r="D20" s="2797" t="s">
        <v>2894</v>
      </c>
      <c r="E20" s="1768">
        <f ca="1">存贷款利率!D4/100</f>
        <v>4.3499999999999997E-2</v>
      </c>
      <c r="F20" s="2797" t="s">
        <v>2886</v>
      </c>
      <c r="G20" s="934">
        <f ca="1">SUMIF(M26:P26,E2,M28:P28)</f>
        <v>5.1999999999999998E-2</v>
      </c>
      <c r="H20" s="2797" t="s">
        <v>2895</v>
      </c>
      <c r="I20" s="935">
        <f>SUMIF('数据-取费表'!C6:C15,E2,'数据-取费表'!F6:F15)/COUNTIF('数据-取费表'!C6:C15,E2)</f>
        <v>31.66</v>
      </c>
      <c r="J20" s="936">
        <f>IF(E2="住宅",70,IF(E2="商业",40,50))</f>
        <v>50</v>
      </c>
      <c r="K20" s="1377"/>
      <c r="L20" s="2798" t="s">
        <v>2896</v>
      </c>
      <c r="M20" s="1735">
        <f>ROUND(SUMPRODUCT((地价!A4:A28=YEAR(G19)&amp;"-"&amp;ROUNDUP(MONTH(G19)/3,0))*(地价!B2:F2=E2)*(地价!B4:F28)),0)</f>
        <v>352</v>
      </c>
      <c r="N20" s="2799" t="s">
        <v>2897</v>
      </c>
      <c r="O20" s="2800" t="s">
        <v>2898</v>
      </c>
      <c r="P20" s="2801" t="s">
        <v>2899</v>
      </c>
      <c r="R20" s="1376"/>
      <c r="S20" s="1376"/>
      <c r="T20" s="1371"/>
      <c r="U20" s="1371"/>
      <c r="V20" s="1371"/>
      <c r="W20" s="1370"/>
      <c r="X20" s="1370"/>
      <c r="Y20" s="1370"/>
      <c r="Z20" s="1377"/>
      <c r="AA20" s="1378"/>
      <c r="AB20" s="1378"/>
      <c r="AC20" s="1378"/>
      <c r="AD20" s="1378"/>
      <c r="AE20" s="1378"/>
      <c r="AF20" s="1378"/>
    </row>
    <row r="21" spans="1:37" s="2737" customFormat="1" ht="15">
      <c r="A21" s="2802" t="s">
        <v>811</v>
      </c>
      <c r="B21" s="2803" t="s">
        <v>3087</v>
      </c>
      <c r="C21" s="937">
        <f>IF(B21="容积率修正",IF(G3&lt;=10,D22,J22),C23)</f>
        <v>0.84250000000000003</v>
      </c>
      <c r="D21" s="2804"/>
      <c r="E21" s="2804"/>
      <c r="F21" s="2804"/>
      <c r="G21" s="2804"/>
      <c r="H21" s="2804"/>
      <c r="I21" s="2804"/>
      <c r="J21" s="2805"/>
      <c r="K21" s="1377"/>
      <c r="N21" s="2806" t="s">
        <v>2900</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37" customFormat="1" ht="14.25">
      <c r="A22" s="2663" t="s">
        <v>2901</v>
      </c>
      <c r="B22" s="2807" t="s">
        <v>2902</v>
      </c>
      <c r="C22" s="1810" t="s">
        <v>2903</v>
      </c>
      <c r="D22" s="1810">
        <f>IF(E22=G22,F22,IF(G3&lt;=10,ROUND(F22+(H22-F22)*(G3-E22)/(G22-E22),4),"——"))</f>
        <v>0.84250000000000003</v>
      </c>
      <c r="E22" s="916">
        <f>ROUNDDOWN(G3,1)</f>
        <v>8.9</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16">
        <f>ROUNDUP(G3,1)</f>
        <v>9</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810" t="s">
        <v>155</v>
      </c>
      <c r="J22" s="938" t="str">
        <f>IF(G3&gt;10,D113,"——")</f>
        <v>——</v>
      </c>
      <c r="K22" s="1377"/>
      <c r="N22" s="2806" t="s">
        <v>2904</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3" t="s">
        <v>2905</v>
      </c>
      <c r="B23" s="2808" t="s">
        <v>2906</v>
      </c>
      <c r="C23" s="1013">
        <f>ROUND(IF(G3&gt;1,IF(I3&lt;7,SUMPRODUCT((B93:B98=I3)*(C92:N92=G2)*(C93:N98)),SUMIF(C92:N92,G2,C100:N100)),IF(I3&lt;7,SUMPRODUCT((B102:B107=I3)*(C92:N92=G2)*(C102:N107)),SUMIF(C92:N92,G2,C109:N109))),4)</f>
        <v>0</v>
      </c>
      <c r="D23" s="2772"/>
      <c r="E23" s="2772"/>
      <c r="F23" s="2809"/>
      <c r="G23" s="2810"/>
      <c r="H23" s="2811"/>
      <c r="I23" s="2812"/>
      <c r="J23" s="2813"/>
      <c r="K23" s="1370"/>
      <c r="N23" s="2806" t="s">
        <v>2907</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87"/>
    </row>
    <row r="24" spans="1:37" s="2737" customFormat="1" ht="15.75" thickBot="1">
      <c r="A24" s="2795" t="s">
        <v>812</v>
      </c>
      <c r="B24" s="2784" t="s">
        <v>2908</v>
      </c>
      <c r="C24" s="924">
        <f>SUMIF(A45:A88,E2,B45:B88)</f>
        <v>1.0392999999999999</v>
      </c>
      <c r="D24" s="2785"/>
      <c r="E24" s="2814"/>
      <c r="F24" s="2814"/>
      <c r="G24" s="2814"/>
      <c r="H24" s="2814"/>
      <c r="I24" s="2814"/>
      <c r="J24" s="2815"/>
      <c r="K24" s="1377"/>
      <c r="N24" s="2816" t="s">
        <v>2909</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5" t="s">
        <v>813</v>
      </c>
      <c r="B25" s="2817" t="s">
        <v>2910</v>
      </c>
      <c r="C25" s="930"/>
      <c r="D25" s="2747"/>
      <c r="E25" s="2747"/>
      <c r="F25" s="2818"/>
      <c r="G25" s="2747"/>
      <c r="H25" s="2747"/>
      <c r="I25" s="2747"/>
      <c r="J25" s="2748"/>
      <c r="K25" s="1370"/>
      <c r="N25" s="2819" t="s">
        <v>2911</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0"/>
      <c r="B26" s="2807" t="s">
        <v>2912</v>
      </c>
      <c r="C26" s="206">
        <f ca="1">E29+SUM(E33:E39)</f>
        <v>12074</v>
      </c>
      <c r="D26" s="2821"/>
      <c r="E26" s="2772"/>
      <c r="F26" s="2822"/>
      <c r="G26" s="2772"/>
      <c r="H26" s="2772"/>
      <c r="I26" s="2772"/>
      <c r="J26" s="2823"/>
      <c r="K26" s="1370"/>
      <c r="L26" s="2776" t="s">
        <v>2811</v>
      </c>
      <c r="M26" s="920" t="s">
        <v>2876</v>
      </c>
      <c r="N26" s="920" t="s">
        <v>2877</v>
      </c>
      <c r="O26" s="920" t="s">
        <v>2878</v>
      </c>
      <c r="P26" s="2777" t="s">
        <v>2879</v>
      </c>
      <c r="R26" s="1376"/>
      <c r="S26" s="1376"/>
      <c r="T26" s="1371"/>
      <c r="U26" s="1371"/>
      <c r="V26" s="1371"/>
      <c r="W26" s="1370"/>
      <c r="X26" s="1370"/>
      <c r="Y26" s="1370"/>
      <c r="Z26" s="1377"/>
      <c r="AA26" s="1378"/>
      <c r="AB26" s="1378"/>
      <c r="AC26" s="1378"/>
      <c r="AD26" s="1378"/>
    </row>
    <row r="27" spans="1:37" ht="15.75" thickBot="1">
      <c r="A27" s="2820"/>
      <c r="B27" s="2824" t="s">
        <v>2913</v>
      </c>
      <c r="C27" s="931">
        <f ca="1">E30+SUM(I33:I39)</f>
        <v>0</v>
      </c>
      <c r="D27" s="2825"/>
      <c r="E27" s="2826"/>
      <c r="F27" s="2827"/>
      <c r="G27" s="2826"/>
      <c r="H27" s="2826"/>
      <c r="I27" s="2826"/>
      <c r="J27" s="2828"/>
      <c r="K27" s="1370"/>
      <c r="L27" s="2780"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9"/>
      <c r="B28" s="2830" t="s">
        <v>2914</v>
      </c>
      <c r="C28" s="2831" t="s">
        <v>2915</v>
      </c>
      <c r="D28" s="2831" t="s">
        <v>2916</v>
      </c>
      <c r="E28" s="2832" t="s">
        <v>2917</v>
      </c>
      <c r="F28" s="2833"/>
      <c r="G28" s="2760"/>
      <c r="H28" s="2760"/>
      <c r="I28" s="2760"/>
      <c r="J28" s="2761"/>
      <c r="K28" s="1370"/>
      <c r="L28" s="2781"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4"/>
      <c r="B29" s="2835" t="s">
        <v>2918</v>
      </c>
      <c r="C29" s="206">
        <f ca="1">ROUND(C5*C18*C19*C20*C21*C24,0)</f>
        <v>24011</v>
      </c>
      <c r="D29" s="2836">
        <f>'数据-汇总表'!E3</f>
        <v>5028.579999999999</v>
      </c>
      <c r="E29" s="942">
        <f ca="1">ROUND(C29*D29/10000,0)</f>
        <v>12074</v>
      </c>
      <c r="F29" s="2837" t="s">
        <v>2919</v>
      </c>
      <c r="G29" s="2838"/>
      <c r="H29" s="2838"/>
      <c r="I29" s="2838"/>
      <c r="J29" s="2839"/>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9"/>
      <c r="AH29" s="2719"/>
      <c r="AI29" s="2719"/>
      <c r="AJ29" s="2719"/>
    </row>
    <row r="30" spans="1:37" ht="25.5" thickBot="1">
      <c r="A30" s="2840"/>
      <c r="B30" s="2841" t="s">
        <v>2920</v>
      </c>
      <c r="C30" s="229">
        <f ca="1">ROUND(IF(E2="工业",C29*M39,C29*M38),0)</f>
        <v>6003</v>
      </c>
      <c r="D30" s="2842"/>
      <c r="E30" s="942">
        <f ca="1">ROUND(C30*D30/10000,0)</f>
        <v>0</v>
      </c>
      <c r="F30" s="2843" t="s">
        <v>2921</v>
      </c>
      <c r="G30" s="2844"/>
      <c r="H30" s="2844"/>
      <c r="I30" s="2844"/>
      <c r="J30" s="2845"/>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9"/>
      <c r="AH30" s="2719"/>
      <c r="AI30" s="2719"/>
      <c r="AJ30" s="2719"/>
    </row>
    <row r="31" spans="1:37" ht="14.25">
      <c r="A31" s="2846"/>
      <c r="B31" s="2847" t="s">
        <v>2922</v>
      </c>
      <c r="C31" s="2848" t="s">
        <v>2923</v>
      </c>
      <c r="D31" s="2760"/>
      <c r="E31" s="2848"/>
      <c r="F31" s="2848"/>
      <c r="G31" s="2758" t="s">
        <v>2924</v>
      </c>
      <c r="H31" s="2760"/>
      <c r="I31" s="2849"/>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9"/>
      <c r="AH31" s="2719"/>
      <c r="AI31" s="2719"/>
      <c r="AJ31" s="2719"/>
    </row>
    <row r="32" spans="1:37" ht="24">
      <c r="A32" s="2834"/>
      <c r="B32" s="2850"/>
      <c r="C32" s="501" t="s">
        <v>2915</v>
      </c>
      <c r="D32" s="498" t="s">
        <v>2916</v>
      </c>
      <c r="E32" s="498" t="s">
        <v>2917</v>
      </c>
      <c r="F32" s="388" t="s">
        <v>2925</v>
      </c>
      <c r="G32" s="2851" t="s">
        <v>2915</v>
      </c>
      <c r="H32" s="2851" t="s">
        <v>2916</v>
      </c>
      <c r="I32" s="2851"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9"/>
      <c r="AH32" s="2719"/>
      <c r="AI32" s="2719"/>
      <c r="AJ32" s="2719"/>
    </row>
    <row r="33" spans="1:37" ht="36" customHeight="1">
      <c r="A33" s="3173" t="s">
        <v>2926</v>
      </c>
      <c r="B33" s="2852" t="s">
        <v>2927</v>
      </c>
      <c r="C33" s="206">
        <f ca="1">ROUND(D5*C19*C20*C24*F33,0)</f>
        <v>22800</v>
      </c>
      <c r="D33" s="2836"/>
      <c r="E33" s="200">
        <f ca="1">ROUND(C33*D33/10000,0)</f>
        <v>0</v>
      </c>
      <c r="F33" s="200">
        <f>SUMIF(修正!A45:A56,G2,修正!B45:B56)</f>
        <v>0.8</v>
      </c>
      <c r="G33" s="200">
        <f t="shared" ref="G33" ca="1" si="6">ROUND(IF(E2="工业",C33*$M$39,C33*$M$38),0)</f>
        <v>5700</v>
      </c>
      <c r="H33" s="200">
        <f>D33</f>
        <v>0</v>
      </c>
      <c r="I33" s="200">
        <f ca="1">ROUND(G33*H33/10000,0)</f>
        <v>0</v>
      </c>
      <c r="J33" s="285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74"/>
      <c r="B34" s="2764" t="s">
        <v>2928</v>
      </c>
      <c r="C34" s="206">
        <f ca="1">ROUND(D5*C19*C20*C24*F34,0)</f>
        <v>14250</v>
      </c>
      <c r="D34" s="2836"/>
      <c r="E34" s="200">
        <f t="shared" ref="E34:E39" ca="1" si="7">ROUND(C34*D34/10000,0)</f>
        <v>0</v>
      </c>
      <c r="F34" s="200">
        <f>SUMIF(修正!A45:A56,G2,修正!C45:C56)</f>
        <v>0.5</v>
      </c>
      <c r="G34" s="200">
        <f ca="1">ROUND(IF(E2="工业",C34*$M$39,C34*$M$38),0)</f>
        <v>3563</v>
      </c>
      <c r="H34" s="200">
        <f t="shared" ref="H34:H39" si="8">D34</f>
        <v>0</v>
      </c>
      <c r="I34" s="200">
        <f t="shared" ref="I34:I39" ca="1" si="9">ROUND(G34*H34/10000,0)</f>
        <v>0</v>
      </c>
      <c r="J34" s="285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74"/>
      <c r="B35" s="2764" t="s">
        <v>2929</v>
      </c>
      <c r="C35" s="206">
        <f ca="1">ROUND(D5*C19*C20*C24*F35,0)</f>
        <v>10260</v>
      </c>
      <c r="D35" s="2836"/>
      <c r="E35" s="200">
        <f t="shared" ca="1" si="7"/>
        <v>0</v>
      </c>
      <c r="F35" s="200">
        <f>SUMIF(修正!A45:A56,G2,修正!D45:D56)</f>
        <v>0.36</v>
      </c>
      <c r="G35" s="200">
        <f ca="1">ROUND(IF(E2="工业",C35*$M$39,C35*$M$38),0)</f>
        <v>2565</v>
      </c>
      <c r="H35" s="200">
        <f t="shared" si="8"/>
        <v>0</v>
      </c>
      <c r="I35" s="200">
        <f t="shared" ca="1" si="9"/>
        <v>0</v>
      </c>
      <c r="J35" s="2853"/>
      <c r="K35" s="1370"/>
      <c r="L35" s="1370"/>
      <c r="M35" s="1370"/>
      <c r="N35" s="1370"/>
      <c r="O35" s="1370"/>
      <c r="P35" s="1370"/>
      <c r="Q35" s="1370"/>
      <c r="R35" s="1370"/>
      <c r="S35" s="1370"/>
      <c r="T35" s="1370"/>
      <c r="U35" s="1370"/>
      <c r="V35" s="1370"/>
      <c r="W35" s="1370"/>
      <c r="X35" s="1370"/>
      <c r="Y35" s="1370"/>
      <c r="Z35" s="1371"/>
    </row>
    <row r="36" spans="1:37" ht="13.5" thickBot="1">
      <c r="A36" s="3175"/>
      <c r="B36" s="2764" t="s">
        <v>2930</v>
      </c>
      <c r="C36" s="206">
        <f ca="1">ROUND(D5*C19*C20*C24*F36,0)</f>
        <v>8550</v>
      </c>
      <c r="D36" s="2836"/>
      <c r="E36" s="200">
        <f t="shared" ca="1" si="7"/>
        <v>0</v>
      </c>
      <c r="F36" s="200">
        <f>SUMIF(修正!A45:A56,G2,修正!E45:E56)</f>
        <v>0.3</v>
      </c>
      <c r="G36" s="200">
        <f ca="1">ROUND(IF(E2="工业",C36*$M$39,C36*$M$38),0)</f>
        <v>2138</v>
      </c>
      <c r="H36" s="200">
        <f t="shared" si="8"/>
        <v>0</v>
      </c>
      <c r="I36" s="200">
        <f t="shared" ca="1" si="9"/>
        <v>0</v>
      </c>
      <c r="J36" s="2853"/>
      <c r="K36" s="1370"/>
      <c r="L36" s="2718"/>
      <c r="M36" s="2718"/>
      <c r="N36" s="1370"/>
      <c r="O36" s="1370"/>
      <c r="P36" s="1370"/>
      <c r="Q36" s="1370"/>
      <c r="R36" s="1370"/>
      <c r="S36" s="1370"/>
      <c r="T36" s="1370"/>
      <c r="U36" s="1370"/>
      <c r="V36" s="1370"/>
      <c r="W36" s="1370"/>
      <c r="X36" s="1370"/>
      <c r="Y36" s="1370"/>
      <c r="Z36" s="1371"/>
    </row>
    <row r="37" spans="1:37">
      <c r="A37" s="2854"/>
      <c r="B37" s="2764" t="s">
        <v>2931</v>
      </c>
      <c r="C37" s="200">
        <f ca="1">ROUND(D5*C19*C20*C24*F37,0)</f>
        <v>8550</v>
      </c>
      <c r="D37" s="2836"/>
      <c r="E37" s="200">
        <f t="shared" ca="1" si="7"/>
        <v>0</v>
      </c>
      <c r="F37" s="206">
        <f>SUMIF(修正!A45:A56,G2,修正!F45:F56)</f>
        <v>0.3</v>
      </c>
      <c r="G37" s="200">
        <f ca="1">ROUND(IF(E2="工业",C37*$M$39,C37*$M$38),0)</f>
        <v>2138</v>
      </c>
      <c r="H37" s="200">
        <f t="shared" si="8"/>
        <v>0</v>
      </c>
      <c r="I37" s="200">
        <f t="shared" ca="1" si="9"/>
        <v>0</v>
      </c>
      <c r="J37" s="2853"/>
      <c r="K37" s="1370"/>
      <c r="L37" s="2855" t="s">
        <v>2932</v>
      </c>
      <c r="M37" s="2856"/>
      <c r="N37" s="1370"/>
      <c r="O37" s="1370"/>
      <c r="P37" s="1370"/>
      <c r="Q37" s="1370"/>
      <c r="R37" s="1370"/>
      <c r="S37" s="1370"/>
      <c r="T37" s="1370"/>
      <c r="U37" s="1370"/>
      <c r="V37" s="1370"/>
      <c r="W37" s="1370"/>
      <c r="X37" s="1370"/>
      <c r="Y37" s="1370"/>
      <c r="Z37" s="1371"/>
    </row>
    <row r="38" spans="1:37">
      <c r="A38" s="2854"/>
      <c r="B38" s="2764" t="s">
        <v>2933</v>
      </c>
      <c r="C38" s="200">
        <f ca="1">ROUND(D5*C19*C41*C24*F38,0)</f>
        <v>8550</v>
      </c>
      <c r="D38" s="2836"/>
      <c r="E38" s="200">
        <f t="shared" ca="1" si="7"/>
        <v>0</v>
      </c>
      <c r="F38" s="206">
        <f>SUMIF(修正!A45:A56,G2,修正!G45:G56)</f>
        <v>0.3</v>
      </c>
      <c r="G38" s="200">
        <f ca="1">ROUND(IF(E2="工业",C38*$M$39,C38*$M$38),0)</f>
        <v>2138</v>
      </c>
      <c r="H38" s="200">
        <f t="shared" si="8"/>
        <v>0</v>
      </c>
      <c r="I38" s="200">
        <f t="shared" ca="1" si="9"/>
        <v>0</v>
      </c>
      <c r="J38" s="2853"/>
      <c r="K38" s="1370"/>
      <c r="L38" s="1887" t="s">
        <v>2934</v>
      </c>
      <c r="M38" s="2857">
        <v>0.25</v>
      </c>
      <c r="N38" s="1370"/>
      <c r="O38" s="1370"/>
      <c r="P38" s="1370"/>
      <c r="Q38" s="1370"/>
      <c r="R38" s="1370"/>
      <c r="S38" s="1370"/>
      <c r="T38" s="1370"/>
      <c r="U38" s="1370"/>
      <c r="V38" s="1370"/>
      <c r="W38" s="1370"/>
      <c r="X38" s="1370"/>
      <c r="Y38" s="1370"/>
      <c r="Z38" s="1371"/>
    </row>
    <row r="39" spans="1:37" ht="13.5" thickBot="1">
      <c r="A39" s="2840"/>
      <c r="B39" s="2858" t="s">
        <v>2935</v>
      </c>
      <c r="C39" s="229">
        <f ca="1">ROUND(D5*C19*C41*C24*F39,0)</f>
        <v>7125</v>
      </c>
      <c r="D39" s="2842"/>
      <c r="E39" s="229">
        <f t="shared" ca="1" si="7"/>
        <v>0</v>
      </c>
      <c r="F39" s="932">
        <f>SUMIF(修正!A45:A56,G2,修正!H45:H56)</f>
        <v>0.25</v>
      </c>
      <c r="G39" s="229">
        <f ca="1">ROUND(IF(E2="工业",C39*$M$39,C39*$M$38),0)</f>
        <v>1781</v>
      </c>
      <c r="H39" s="229">
        <f t="shared" si="8"/>
        <v>0</v>
      </c>
      <c r="I39" s="229">
        <f t="shared" ca="1" si="9"/>
        <v>0</v>
      </c>
      <c r="J39" s="2859"/>
      <c r="K39" s="1370"/>
      <c r="L39" s="2860" t="s">
        <v>2879</v>
      </c>
      <c r="M39" s="286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9" t="s">
        <v>3046</v>
      </c>
      <c r="C41" s="388">
        <f ca="1">ROUND(POWER(1+E41,H41-G41)*(POWER(1+E41,G41)-1)/(POWER(1+E41,H41)-1),4)</f>
        <v>0.8679</v>
      </c>
      <c r="D41" s="200" t="s">
        <v>2886</v>
      </c>
      <c r="E41" s="2928">
        <f ca="1">G20</f>
        <v>5.1999999999999998E-2</v>
      </c>
      <c r="F41" s="200" t="s">
        <v>2895</v>
      </c>
      <c r="G41" s="218">
        <f>'数据-取费表'!F6</f>
        <v>31.66</v>
      </c>
      <c r="H41" s="200">
        <v>50</v>
      </c>
      <c r="Z41" s="1371"/>
      <c r="AA41" s="1371"/>
      <c r="AB41" s="1371"/>
      <c r="AC41" s="1371"/>
      <c r="AD41" s="1371"/>
      <c r="AE41" s="1371"/>
      <c r="AF41" s="1371"/>
      <c r="AG41" s="1371"/>
      <c r="AH41" s="1371"/>
      <c r="AI41" s="1371"/>
      <c r="AJ41" s="1371"/>
    </row>
    <row r="42" spans="1:37" s="1370" customFormat="1">
      <c r="A42" s="1371"/>
      <c r="B42" s="2862"/>
      <c r="Z42" s="1371"/>
      <c r="AA42" s="1371"/>
      <c r="AB42" s="1371"/>
      <c r="AC42" s="1371"/>
      <c r="AD42" s="1371"/>
      <c r="AE42" s="1371"/>
      <c r="AF42" s="1371"/>
      <c r="AG42" s="1371"/>
      <c r="AH42" s="1371"/>
      <c r="AI42" s="1371"/>
      <c r="AJ42" s="1371"/>
    </row>
    <row r="43" spans="1:37" s="1370" customFormat="1">
      <c r="A43" s="1371"/>
      <c r="B43" s="2862"/>
      <c r="Z43" s="1371"/>
      <c r="AA43" s="1371"/>
      <c r="AB43" s="1371"/>
      <c r="AC43" s="1371"/>
      <c r="AD43" s="1371"/>
      <c r="AE43" s="1371"/>
      <c r="AF43" s="1371"/>
      <c r="AG43" s="1371"/>
      <c r="AH43" s="1371"/>
      <c r="AI43" s="1371"/>
      <c r="AJ43" s="1371"/>
    </row>
    <row r="44" spans="1:37" s="1370" customFormat="1">
      <c r="A44" s="1371"/>
      <c r="B44" s="2862"/>
      <c r="Z44" s="1371"/>
      <c r="AA44" s="1371"/>
      <c r="AB44" s="1371"/>
      <c r="AC44" s="1371"/>
      <c r="AD44" s="1371"/>
      <c r="AE44" s="1371"/>
      <c r="AF44" s="1371"/>
      <c r="AG44" s="1371"/>
      <c r="AH44" s="1371"/>
      <c r="AI44" s="1371"/>
      <c r="AJ44" s="1371"/>
    </row>
    <row r="45" spans="1:37" s="1370" customFormat="1" ht="15.75" thickBot="1">
      <c r="A45" s="2863" t="s">
        <v>2936</v>
      </c>
      <c r="B45" s="2864"/>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hidden="1">
      <c r="A46" s="2865" t="s">
        <v>2937</v>
      </c>
      <c r="B46" s="2866">
        <f>1+E48</f>
        <v>1</v>
      </c>
      <c r="C46" s="2867"/>
      <c r="D46" s="814"/>
      <c r="E46" s="815"/>
      <c r="F46" s="2868"/>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hidden="1">
      <c r="A47" s="2869" t="s">
        <v>2938</v>
      </c>
      <c r="B47" s="1809" t="s">
        <v>2939</v>
      </c>
      <c r="C47" s="1809" t="s">
        <v>2940</v>
      </c>
      <c r="D47" s="1809" t="s">
        <v>2941</v>
      </c>
      <c r="E47" s="819" t="s">
        <v>2942</v>
      </c>
      <c r="F47" s="2870" t="s">
        <v>2943</v>
      </c>
      <c r="G47" s="1809" t="s">
        <v>754</v>
      </c>
      <c r="H47" s="2871" t="s">
        <v>2944</v>
      </c>
      <c r="I47" s="1809" t="s">
        <v>2945</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38.25" hidden="1">
      <c r="A48" s="2869" t="s">
        <v>2946</v>
      </c>
      <c r="B48" s="2872" t="str">
        <f>估价对象房地状况!C4</f>
        <v>估价对象位于XX商圈，周边商业氛围成熟，人流量大，商业繁华度好</v>
      </c>
      <c r="C48" s="2769"/>
      <c r="D48" s="1286">
        <f t="shared" ref="D48:D56" si="10">SUMIF($J$47:$N$47,C48,J48:N48)</f>
        <v>0</v>
      </c>
      <c r="E48" s="821">
        <f>ROUND(SUM(D48:D56),4)</f>
        <v>0</v>
      </c>
      <c r="F48" s="2500"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14.25" hidden="1">
      <c r="A49" s="2869" t="s">
        <v>2947</v>
      </c>
      <c r="B49" s="2873" t="str">
        <f>估价对象房地状况!C18</f>
        <v>较好</v>
      </c>
      <c r="C49" s="2769"/>
      <c r="D49" s="1286">
        <f t="shared" si="10"/>
        <v>0</v>
      </c>
      <c r="E49" s="822"/>
      <c r="F49" s="2500"/>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9" t="s">
        <v>2948</v>
      </c>
      <c r="B50" s="2873">
        <f>估价对象房地状况!C19</f>
        <v>0</v>
      </c>
      <c r="C50" s="2769"/>
      <c r="D50" s="1286">
        <f t="shared" si="10"/>
        <v>0</v>
      </c>
      <c r="E50" s="822"/>
      <c r="F50" s="2500"/>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9" t="s">
        <v>2949</v>
      </c>
      <c r="B51" s="2874" t="s">
        <v>2950</v>
      </c>
      <c r="C51" s="2769"/>
      <c r="D51" s="1286">
        <f t="shared" si="10"/>
        <v>0</v>
      </c>
      <c r="E51" s="822"/>
      <c r="F51" s="2500"/>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9" t="s">
        <v>2951</v>
      </c>
      <c r="B52" s="2873" t="str">
        <f>估价对象房地状况!C24</f>
        <v>城市主干道-中关村大街</v>
      </c>
      <c r="C52" s="2769"/>
      <c r="D52" s="1286">
        <f t="shared" si="10"/>
        <v>0</v>
      </c>
      <c r="E52" s="822"/>
      <c r="F52" s="2500"/>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9" t="s">
        <v>2952</v>
      </c>
      <c r="B53" s="2875" t="s">
        <v>2953</v>
      </c>
      <c r="C53" s="2769"/>
      <c r="D53" s="1286">
        <f t="shared" si="10"/>
        <v>0</v>
      </c>
      <c r="E53" s="822"/>
      <c r="F53" s="2500"/>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4" hidden="1">
      <c r="A54" s="2876" t="s">
        <v>2954</v>
      </c>
      <c r="B54" s="1725" t="str">
        <f>估价对象房地状况!C21</f>
        <v>较好</v>
      </c>
      <c r="C54" s="2769"/>
      <c r="D54" s="1286">
        <f t="shared" si="10"/>
        <v>0</v>
      </c>
      <c r="E54" s="822"/>
      <c r="F54" s="2500"/>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4" hidden="1">
      <c r="A55" s="2876" t="s">
        <v>2955</v>
      </c>
      <c r="B55" s="2873" t="str">
        <f>估价对象房地状况!C22</f>
        <v>七通</v>
      </c>
      <c r="C55" s="2769"/>
      <c r="D55" s="1286">
        <f t="shared" si="10"/>
        <v>0</v>
      </c>
      <c r="E55" s="822"/>
      <c r="F55" s="2500"/>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24.75" hidden="1" thickBot="1">
      <c r="A56" s="2877" t="s">
        <v>2956</v>
      </c>
      <c r="B56" s="2878" t="str">
        <f>估价对象房地状况!C20</f>
        <v>较好</v>
      </c>
      <c r="C56" s="2769"/>
      <c r="D56" s="1286">
        <f t="shared" si="10"/>
        <v>0</v>
      </c>
      <c r="E56" s="825"/>
      <c r="F56" s="2500"/>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5" t="s">
        <v>2957</v>
      </c>
      <c r="B57" s="2866">
        <f>1+E59</f>
        <v>1.0392999999999999</v>
      </c>
      <c r="C57" s="814"/>
      <c r="D57" s="814"/>
      <c r="E57" s="815"/>
      <c r="F57" s="286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9" t="s">
        <v>2938</v>
      </c>
      <c r="B58" s="1809"/>
      <c r="C58" s="1809" t="s">
        <v>2940</v>
      </c>
      <c r="D58" s="1809" t="s">
        <v>2941</v>
      </c>
      <c r="E58" s="819" t="s">
        <v>2942</v>
      </c>
      <c r="F58" s="2870" t="s">
        <v>2958</v>
      </c>
      <c r="G58" s="1809" t="s">
        <v>754</v>
      </c>
      <c r="H58" s="2871" t="s">
        <v>2944</v>
      </c>
      <c r="I58" s="1809" t="s">
        <v>2945</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24">
      <c r="A59" s="2869" t="s">
        <v>2959</v>
      </c>
      <c r="B59" s="2872" t="str">
        <f>估价对象房地状况!C17</f>
        <v>较好</v>
      </c>
      <c r="C59" s="2769" t="s">
        <v>3088</v>
      </c>
      <c r="D59" s="1286">
        <f t="shared" ref="D59:D67" si="15">SUMIF($J$58:$N$58,C59,J59:N59)</f>
        <v>8.5000000000000006E-3</v>
      </c>
      <c r="E59" s="821">
        <f>ROUND(SUM(D59:D67),4)</f>
        <v>3.9300000000000002E-2</v>
      </c>
      <c r="F59" s="2500">
        <f>IF(E2="办公",SUMIF(L1:L12,G2,N1:N12),"——")</f>
        <v>7.0999999999999994E-2</v>
      </c>
      <c r="G59" s="2965">
        <v>8.5000000000000006E-3</v>
      </c>
      <c r="H59" s="1288">
        <f t="shared" ref="H59:H67" si="16">IFERROR(ROUNDDOWN($F$59*I59/2,4),"——")</f>
        <v>8.5000000000000006E-3</v>
      </c>
      <c r="I59" s="820">
        <v>0.24</v>
      </c>
      <c r="J59" s="1285">
        <f t="shared" ref="J59:J67" si="17">K59+$G59</f>
        <v>1.7000000000000001E-2</v>
      </c>
      <c r="K59" s="1285">
        <f t="shared" ref="K59:K67" si="18">$L59+$G59</f>
        <v>8.5000000000000006E-3</v>
      </c>
      <c r="L59" s="1285">
        <v>0</v>
      </c>
      <c r="M59" s="1285">
        <f t="shared" ref="M59:N67" si="19">L59-$G59</f>
        <v>-8.5000000000000006E-3</v>
      </c>
      <c r="N59" s="1285">
        <f t="shared" si="19"/>
        <v>-1.7000000000000001E-2</v>
      </c>
      <c r="AA59" s="1371"/>
      <c r="AB59" s="1371"/>
      <c r="AC59" s="1371"/>
      <c r="AD59" s="1371"/>
      <c r="AE59" s="1371"/>
      <c r="AF59" s="1371"/>
      <c r="AG59" s="1371"/>
      <c r="AH59" s="1371"/>
      <c r="AI59" s="1371"/>
      <c r="AJ59" s="1371"/>
      <c r="AK59" s="1371"/>
    </row>
    <row r="60" spans="1:37" s="1370" customFormat="1" ht="14.25">
      <c r="A60" s="2869" t="s">
        <v>2947</v>
      </c>
      <c r="B60" s="2873" t="str">
        <f>估价对象房地状况!C18</f>
        <v>较好</v>
      </c>
      <c r="C60" s="2769" t="s">
        <v>3088</v>
      </c>
      <c r="D60" s="1286">
        <f t="shared" si="15"/>
        <v>1.06E-2</v>
      </c>
      <c r="E60" s="822"/>
      <c r="F60" s="2500"/>
      <c r="G60" s="2965">
        <v>1.06E-2</v>
      </c>
      <c r="H60" s="1288">
        <f t="shared" si="16"/>
        <v>1.06E-2</v>
      </c>
      <c r="I60" s="820">
        <v>0.3</v>
      </c>
      <c r="J60" s="1285">
        <f t="shared" si="17"/>
        <v>2.12E-2</v>
      </c>
      <c r="K60" s="1285">
        <f t="shared" si="18"/>
        <v>1.06E-2</v>
      </c>
      <c r="L60" s="1285">
        <v>0</v>
      </c>
      <c r="M60" s="1285">
        <f t="shared" si="19"/>
        <v>-1.06E-2</v>
      </c>
      <c r="N60" s="1285">
        <f t="shared" si="19"/>
        <v>-2.12E-2</v>
      </c>
      <c r="AA60" s="1371"/>
      <c r="AB60" s="1371"/>
      <c r="AC60" s="1371"/>
      <c r="AD60" s="1371"/>
      <c r="AE60" s="1371"/>
      <c r="AF60" s="1371"/>
      <c r="AG60" s="1371"/>
      <c r="AH60" s="1371"/>
      <c r="AI60" s="1371"/>
      <c r="AJ60" s="1371"/>
      <c r="AK60" s="1371"/>
    </row>
    <row r="61" spans="1:37" s="1370" customFormat="1" ht="24">
      <c r="A61" s="2869" t="s">
        <v>2948</v>
      </c>
      <c r="B61" s="2873">
        <f>估价对象房地状况!C19</f>
        <v>0</v>
      </c>
      <c r="C61" s="2769" t="s">
        <v>3088</v>
      </c>
      <c r="D61" s="1286">
        <f t="shared" si="15"/>
        <v>2.8E-3</v>
      </c>
      <c r="E61" s="822"/>
      <c r="F61" s="2500"/>
      <c r="G61" s="2965">
        <v>2.8E-3</v>
      </c>
      <c r="H61" s="1288">
        <f t="shared" si="16"/>
        <v>2.8E-3</v>
      </c>
      <c r="I61" s="820">
        <v>0.08</v>
      </c>
      <c r="J61" s="1285">
        <f t="shared" si="17"/>
        <v>5.5999999999999999E-3</v>
      </c>
      <c r="K61" s="1285">
        <f t="shared" si="18"/>
        <v>2.8E-3</v>
      </c>
      <c r="L61" s="1285">
        <v>0</v>
      </c>
      <c r="M61" s="1285">
        <f t="shared" si="19"/>
        <v>-2.8E-3</v>
      </c>
      <c r="N61" s="1285">
        <f t="shared" si="19"/>
        <v>-5.5999999999999999E-3</v>
      </c>
      <c r="AA61" s="1371"/>
      <c r="AB61" s="1371"/>
      <c r="AC61" s="1371"/>
      <c r="AD61" s="1371"/>
      <c r="AE61" s="1371"/>
      <c r="AF61" s="1371"/>
      <c r="AG61" s="1371"/>
      <c r="AH61" s="1371"/>
      <c r="AI61" s="1371"/>
      <c r="AJ61" s="1371"/>
      <c r="AK61" s="1371"/>
    </row>
    <row r="62" spans="1:37" s="1370" customFormat="1" ht="36.75">
      <c r="A62" s="2869" t="s">
        <v>2949</v>
      </c>
      <c r="B62" s="2874" t="s">
        <v>2950</v>
      </c>
      <c r="C62" s="2769" t="s">
        <v>3088</v>
      </c>
      <c r="D62" s="1286">
        <f t="shared" si="15"/>
        <v>1.4E-3</v>
      </c>
      <c r="E62" s="822"/>
      <c r="F62" s="2500"/>
      <c r="G62" s="2965">
        <v>1.4E-3</v>
      </c>
      <c r="H62" s="1288">
        <f t="shared" si="16"/>
        <v>1.4E-3</v>
      </c>
      <c r="I62" s="820">
        <v>0.04</v>
      </c>
      <c r="J62" s="1285">
        <f t="shared" si="17"/>
        <v>2.8E-3</v>
      </c>
      <c r="K62" s="1285">
        <f t="shared" si="18"/>
        <v>1.4E-3</v>
      </c>
      <c r="L62" s="1285">
        <v>0</v>
      </c>
      <c r="M62" s="1285">
        <f t="shared" si="19"/>
        <v>-1.4E-3</v>
      </c>
      <c r="N62" s="1285">
        <f t="shared" si="19"/>
        <v>-2.8E-3</v>
      </c>
      <c r="AA62" s="1371"/>
      <c r="AB62" s="1371"/>
      <c r="AC62" s="1371"/>
      <c r="AD62" s="1371"/>
      <c r="AE62" s="1371"/>
      <c r="AF62" s="1371"/>
      <c r="AG62" s="1371"/>
      <c r="AH62" s="1371"/>
      <c r="AI62" s="1371"/>
      <c r="AJ62" s="1371"/>
      <c r="AK62" s="1371"/>
    </row>
    <row r="63" spans="1:37" s="1370" customFormat="1" ht="24">
      <c r="A63" s="2869" t="s">
        <v>2951</v>
      </c>
      <c r="B63" s="2873" t="str">
        <f>估价对象房地状况!C24</f>
        <v>城市主干道-中关村大街</v>
      </c>
      <c r="C63" s="2769" t="s">
        <v>3088</v>
      </c>
      <c r="D63" s="1286">
        <f t="shared" si="15"/>
        <v>1.6999999999999999E-3</v>
      </c>
      <c r="E63" s="822"/>
      <c r="F63" s="2500"/>
      <c r="G63" s="2965">
        <v>1.6999999999999999E-3</v>
      </c>
      <c r="H63" s="1288">
        <f t="shared" si="16"/>
        <v>1.6999999999999999E-3</v>
      </c>
      <c r="I63" s="820">
        <v>0.05</v>
      </c>
      <c r="J63" s="1285">
        <f t="shared" si="17"/>
        <v>3.3999999999999998E-3</v>
      </c>
      <c r="K63" s="1285">
        <f t="shared" si="18"/>
        <v>1.6999999999999999E-3</v>
      </c>
      <c r="L63" s="1285">
        <v>0</v>
      </c>
      <c r="M63" s="1285">
        <f t="shared" si="19"/>
        <v>-1.6999999999999999E-3</v>
      </c>
      <c r="N63" s="1285">
        <f t="shared" si="19"/>
        <v>-3.3999999999999998E-3</v>
      </c>
      <c r="AA63" s="1371"/>
      <c r="AB63" s="1371"/>
      <c r="AC63" s="1371"/>
      <c r="AD63" s="1371"/>
      <c r="AE63" s="1371"/>
      <c r="AF63" s="1371"/>
      <c r="AG63" s="1371"/>
      <c r="AH63" s="1371"/>
      <c r="AI63" s="1371"/>
      <c r="AJ63" s="1371"/>
      <c r="AK63" s="1371"/>
    </row>
    <row r="64" spans="1:37" s="1370" customFormat="1" ht="24">
      <c r="A64" s="2869" t="s">
        <v>2952</v>
      </c>
      <c r="B64" s="2875" t="s">
        <v>2953</v>
      </c>
      <c r="C64" s="2769" t="s">
        <v>3088</v>
      </c>
      <c r="D64" s="1286">
        <f t="shared" si="15"/>
        <v>1.6999999999999999E-3</v>
      </c>
      <c r="E64" s="822"/>
      <c r="F64" s="2500"/>
      <c r="G64" s="2965">
        <v>1.6999999999999999E-3</v>
      </c>
      <c r="H64" s="1288">
        <f t="shared" si="16"/>
        <v>1.6999999999999999E-3</v>
      </c>
      <c r="I64" s="820">
        <v>0.05</v>
      </c>
      <c r="J64" s="1285">
        <f t="shared" si="17"/>
        <v>3.3999999999999998E-3</v>
      </c>
      <c r="K64" s="1285">
        <f t="shared" si="18"/>
        <v>1.6999999999999999E-3</v>
      </c>
      <c r="L64" s="1285">
        <v>0</v>
      </c>
      <c r="M64" s="1285">
        <f t="shared" si="19"/>
        <v>-1.6999999999999999E-3</v>
      </c>
      <c r="N64" s="1285">
        <f t="shared" si="19"/>
        <v>-3.3999999999999998E-3</v>
      </c>
      <c r="AA64" s="1371"/>
      <c r="AB64" s="1371"/>
      <c r="AC64" s="1371"/>
      <c r="AD64" s="1371"/>
      <c r="AE64" s="1371"/>
      <c r="AF64" s="1371"/>
      <c r="AG64" s="1371"/>
      <c r="AH64" s="1371"/>
      <c r="AI64" s="1371"/>
      <c r="AJ64" s="1371"/>
      <c r="AK64" s="1371"/>
    </row>
    <row r="65" spans="1:37" s="1370" customFormat="1" ht="24">
      <c r="A65" s="2869" t="s">
        <v>2954</v>
      </c>
      <c r="B65" s="1725" t="str">
        <f>估价对象房地状况!C21</f>
        <v>较好</v>
      </c>
      <c r="C65" s="2769" t="s">
        <v>3088</v>
      </c>
      <c r="D65" s="1286">
        <f t="shared" si="15"/>
        <v>2.0999999999999999E-3</v>
      </c>
      <c r="E65" s="822"/>
      <c r="F65" s="2500"/>
      <c r="G65" s="2965">
        <v>2.0999999999999999E-3</v>
      </c>
      <c r="H65" s="1288">
        <f t="shared" si="16"/>
        <v>2.0999999999999999E-3</v>
      </c>
      <c r="I65" s="820">
        <v>0.06</v>
      </c>
      <c r="J65" s="1285">
        <f t="shared" si="17"/>
        <v>4.1999999999999997E-3</v>
      </c>
      <c r="K65" s="1285">
        <f t="shared" si="18"/>
        <v>2.0999999999999999E-3</v>
      </c>
      <c r="L65" s="1285">
        <v>0</v>
      </c>
      <c r="M65" s="1285">
        <f t="shared" si="19"/>
        <v>-2.0999999999999999E-3</v>
      </c>
      <c r="N65" s="1285">
        <f t="shared" si="19"/>
        <v>-4.1999999999999997E-3</v>
      </c>
      <c r="AA65" s="1371"/>
      <c r="AB65" s="1371"/>
      <c r="AC65" s="1371"/>
      <c r="AD65" s="1371"/>
      <c r="AE65" s="1371"/>
      <c r="AF65" s="1371"/>
      <c r="AG65" s="1371"/>
      <c r="AH65" s="1371"/>
      <c r="AI65" s="1371"/>
      <c r="AJ65" s="1371"/>
      <c r="AK65" s="1371"/>
    </row>
    <row r="66" spans="1:37" s="1370" customFormat="1" ht="24">
      <c r="A66" s="2869" t="s">
        <v>2955</v>
      </c>
      <c r="B66" s="1725" t="str">
        <f>估价对象房地状况!C22</f>
        <v>七通</v>
      </c>
      <c r="C66" s="2769" t="s">
        <v>3089</v>
      </c>
      <c r="D66" s="1286">
        <f t="shared" si="15"/>
        <v>8.3999999999999995E-3</v>
      </c>
      <c r="E66" s="822"/>
      <c r="F66" s="2500"/>
      <c r="G66" s="2965">
        <v>4.1999999999999997E-3</v>
      </c>
      <c r="H66" s="1288">
        <f t="shared" si="16"/>
        <v>4.1999999999999997E-3</v>
      </c>
      <c r="I66" s="820">
        <v>0.12</v>
      </c>
      <c r="J66" s="1285">
        <f t="shared" si="17"/>
        <v>8.3999999999999995E-3</v>
      </c>
      <c r="K66" s="1285">
        <f t="shared" si="18"/>
        <v>4.1999999999999997E-3</v>
      </c>
      <c r="L66" s="1285">
        <v>0</v>
      </c>
      <c r="M66" s="1285">
        <f t="shared" si="19"/>
        <v>-4.1999999999999997E-3</v>
      </c>
      <c r="N66" s="1285">
        <f t="shared" si="19"/>
        <v>-8.3999999999999995E-3</v>
      </c>
      <c r="AA66" s="1371"/>
      <c r="AB66" s="1371"/>
      <c r="AC66" s="1371"/>
      <c r="AD66" s="1371"/>
      <c r="AE66" s="1371"/>
      <c r="AF66" s="1371"/>
      <c r="AG66" s="1371"/>
      <c r="AH66" s="1371"/>
      <c r="AI66" s="1371"/>
      <c r="AJ66" s="1371"/>
      <c r="AK66" s="1371"/>
    </row>
    <row r="67" spans="1:37" s="1370" customFormat="1" ht="24.75" thickBot="1">
      <c r="A67" s="2877" t="s">
        <v>2956</v>
      </c>
      <c r="B67" s="2879" t="str">
        <f>估价对象房地状况!C20</f>
        <v>较好</v>
      </c>
      <c r="C67" s="2769" t="s">
        <v>3088</v>
      </c>
      <c r="D67" s="1286">
        <f t="shared" si="15"/>
        <v>2.0999999999999999E-3</v>
      </c>
      <c r="E67" s="825"/>
      <c r="F67" s="2500"/>
      <c r="G67" s="2965">
        <v>2.0999999999999999E-3</v>
      </c>
      <c r="H67" s="1288">
        <f t="shared" si="16"/>
        <v>2.0999999999999999E-3</v>
      </c>
      <c r="I67" s="824">
        <v>0.06</v>
      </c>
      <c r="J67" s="1285">
        <f t="shared" si="17"/>
        <v>4.1999999999999997E-3</v>
      </c>
      <c r="K67" s="1285">
        <f t="shared" si="18"/>
        <v>2.0999999999999999E-3</v>
      </c>
      <c r="L67" s="1285">
        <v>0</v>
      </c>
      <c r="M67" s="1285">
        <f t="shared" si="19"/>
        <v>-2.0999999999999999E-3</v>
      </c>
      <c r="N67" s="1285">
        <f t="shared" si="19"/>
        <v>-4.1999999999999997E-3</v>
      </c>
      <c r="AA67" s="1371"/>
      <c r="AB67" s="1371"/>
      <c r="AC67" s="1371"/>
      <c r="AD67" s="1371"/>
      <c r="AE67" s="1371"/>
      <c r="AF67" s="1371"/>
      <c r="AG67" s="1371"/>
      <c r="AH67" s="1371"/>
      <c r="AI67" s="1371"/>
      <c r="AJ67" s="1371"/>
      <c r="AK67" s="1371"/>
    </row>
    <row r="68" spans="1:37" s="1370" customFormat="1" ht="15">
      <c r="A68" s="2865" t="s">
        <v>2960</v>
      </c>
      <c r="B68" s="2866">
        <f>1+E70</f>
        <v>1</v>
      </c>
      <c r="C68" s="814"/>
      <c r="D68" s="814"/>
      <c r="E68" s="815"/>
      <c r="F68" s="286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9" t="s">
        <v>2938</v>
      </c>
      <c r="B69" s="1809"/>
      <c r="C69" s="1809" t="s">
        <v>2940</v>
      </c>
      <c r="D69" s="1809" t="s">
        <v>2941</v>
      </c>
      <c r="E69" s="819" t="s">
        <v>2942</v>
      </c>
      <c r="F69" s="2870" t="s">
        <v>2958</v>
      </c>
      <c r="G69" s="1809" t="s">
        <v>754</v>
      </c>
      <c r="H69" s="2871" t="s">
        <v>2944</v>
      </c>
      <c r="I69" s="1809" t="s">
        <v>2945</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51">
      <c r="A70" s="2869" t="s">
        <v>2961</v>
      </c>
      <c r="B70" s="2872" t="str">
        <f>估价对象房地状况!C15</f>
        <v>估价对象周边居住用地比例、居住小区规模和社区发展完善程度，综合评价居住社区成熟度一般</v>
      </c>
      <c r="C70" s="2769"/>
      <c r="D70" s="1286">
        <f t="shared" ref="D70:D78" si="20">SUMIF($J$69:$N$69,C70,J70:N70)</f>
        <v>0</v>
      </c>
      <c r="E70" s="821">
        <f>ROUND(SUM(D70:D78),4)</f>
        <v>0</v>
      </c>
      <c r="F70" s="250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69" t="s">
        <v>2947</v>
      </c>
      <c r="B71" s="2873" t="str">
        <f>估价对象房地状况!C18</f>
        <v>较好</v>
      </c>
      <c r="C71" s="2769"/>
      <c r="D71" s="1286">
        <f t="shared" si="20"/>
        <v>0</v>
      </c>
      <c r="E71" s="826"/>
      <c r="F71" s="250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9" t="s">
        <v>2948</v>
      </c>
      <c r="B72" s="2873">
        <f>估价对象房地状况!C19</f>
        <v>0</v>
      </c>
      <c r="C72" s="2769"/>
      <c r="D72" s="1286">
        <f t="shared" si="20"/>
        <v>0</v>
      </c>
      <c r="E72" s="826"/>
      <c r="F72" s="250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9" t="s">
        <v>2962</v>
      </c>
      <c r="B73" s="2873" t="str">
        <f>估价对象房地状况!C24</f>
        <v>城市主干道-中关村大街</v>
      </c>
      <c r="C73" s="2769"/>
      <c r="D73" s="1286">
        <f t="shared" si="20"/>
        <v>0</v>
      </c>
      <c r="E73" s="826"/>
      <c r="F73" s="250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69" t="s">
        <v>2954</v>
      </c>
      <c r="B74" s="1725" t="str">
        <f>估价对象房地状况!C21</f>
        <v>较好</v>
      </c>
      <c r="C74" s="2769"/>
      <c r="D74" s="1286">
        <f t="shared" si="20"/>
        <v>0</v>
      </c>
      <c r="E74" s="826"/>
      <c r="F74" s="250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69" t="s">
        <v>2955</v>
      </c>
      <c r="B75" s="1725" t="str">
        <f>估价对象房地状况!C22</f>
        <v>七通</v>
      </c>
      <c r="C75" s="2769"/>
      <c r="D75" s="1286">
        <f t="shared" si="20"/>
        <v>0</v>
      </c>
      <c r="E75" s="826"/>
      <c r="F75" s="250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69" t="s">
        <v>2952</v>
      </c>
      <c r="B76" s="2875" t="s">
        <v>2953</v>
      </c>
      <c r="C76" s="2769"/>
      <c r="D76" s="1286">
        <f t="shared" si="20"/>
        <v>0</v>
      </c>
      <c r="E76" s="826"/>
      <c r="F76" s="2500"/>
      <c r="G76" s="1284"/>
      <c r="H76" s="1288" t="str">
        <f t="shared" si="21"/>
        <v>——</v>
      </c>
      <c r="I76" s="820">
        <v>0.05</v>
      </c>
      <c r="J76" s="1285">
        <f t="shared" si="22"/>
        <v>0</v>
      </c>
      <c r="K76" s="1285">
        <f t="shared" si="23"/>
        <v>0</v>
      </c>
      <c r="L76" s="1285">
        <v>0</v>
      </c>
      <c r="M76" s="1285">
        <f t="shared" si="24"/>
        <v>0</v>
      </c>
      <c r="N76" s="1285">
        <f t="shared" si="24"/>
        <v>0</v>
      </c>
      <c r="AA76" s="2880"/>
      <c r="AB76" s="1371"/>
      <c r="AC76" s="1371"/>
      <c r="AD76" s="1371"/>
      <c r="AE76" s="1371"/>
      <c r="AF76" s="1371"/>
      <c r="AG76" s="1371"/>
      <c r="AH76" s="2880"/>
      <c r="AI76" s="2880"/>
      <c r="AJ76" s="2880"/>
      <c r="AK76" s="2880"/>
    </row>
    <row r="77" spans="1:37" ht="24">
      <c r="A77" s="2869" t="s">
        <v>2956</v>
      </c>
      <c r="B77" s="2872" t="str">
        <f>估价对象房地状况!C20</f>
        <v>较好</v>
      </c>
      <c r="C77" s="2769"/>
      <c r="D77" s="1286">
        <f t="shared" si="20"/>
        <v>0</v>
      </c>
      <c r="E77" s="826"/>
      <c r="F77" s="2500"/>
      <c r="G77" s="1284"/>
      <c r="H77" s="1288" t="str">
        <f t="shared" si="21"/>
        <v>——</v>
      </c>
      <c r="I77" s="820">
        <v>0.15</v>
      </c>
      <c r="J77" s="1285">
        <f t="shared" si="22"/>
        <v>0</v>
      </c>
      <c r="K77" s="1285">
        <f t="shared" si="23"/>
        <v>0</v>
      </c>
      <c r="L77" s="1285">
        <v>0</v>
      </c>
      <c r="M77" s="1285">
        <f t="shared" si="24"/>
        <v>0</v>
      </c>
      <c r="N77" s="1285">
        <f t="shared" si="24"/>
        <v>0</v>
      </c>
      <c r="Z77" s="2719"/>
      <c r="AA77" s="2787"/>
      <c r="AG77" s="1372"/>
      <c r="AK77" s="2787"/>
    </row>
    <row r="78" spans="1:37" ht="24.75" thickBot="1">
      <c r="A78" s="2877" t="s">
        <v>2963</v>
      </c>
      <c r="B78" s="2881"/>
      <c r="C78" s="2769"/>
      <c r="D78" s="1286">
        <f t="shared" si="20"/>
        <v>0</v>
      </c>
      <c r="E78" s="827"/>
      <c r="F78" s="2500"/>
      <c r="G78" s="1284"/>
      <c r="H78" s="1288" t="str">
        <f t="shared" si="21"/>
        <v>——</v>
      </c>
      <c r="I78" s="824">
        <v>0.04</v>
      </c>
      <c r="J78" s="1285">
        <f t="shared" si="22"/>
        <v>0</v>
      </c>
      <c r="K78" s="1285">
        <f t="shared" si="23"/>
        <v>0</v>
      </c>
      <c r="L78" s="1285">
        <v>0</v>
      </c>
      <c r="M78" s="1285">
        <f t="shared" si="24"/>
        <v>0</v>
      </c>
      <c r="N78" s="1285">
        <f t="shared" si="24"/>
        <v>0</v>
      </c>
      <c r="Z78" s="2719"/>
      <c r="AA78" s="2787"/>
      <c r="AG78" s="1372"/>
      <c r="AK78" s="2787"/>
    </row>
    <row r="79" spans="1:37" ht="15">
      <c r="A79" s="2865" t="s">
        <v>2964</v>
      </c>
      <c r="B79" s="2866">
        <f>1+E81</f>
        <v>1</v>
      </c>
      <c r="C79" s="814"/>
      <c r="D79" s="814"/>
      <c r="E79" s="815"/>
      <c r="F79" s="2868"/>
      <c r="G79" s="6"/>
      <c r="H79" s="6"/>
      <c r="I79" s="6"/>
      <c r="J79" s="7"/>
      <c r="K79" s="7"/>
      <c r="L79" s="7"/>
      <c r="M79" s="7"/>
      <c r="N79" s="7"/>
      <c r="Z79" s="2719"/>
      <c r="AA79" s="2787"/>
      <c r="AG79" s="1372"/>
      <c r="AK79" s="2787"/>
    </row>
    <row r="80" spans="1:37" ht="24.75">
      <c r="A80" s="2869" t="s">
        <v>2938</v>
      </c>
      <c r="B80" s="1809"/>
      <c r="C80" s="1809" t="s">
        <v>2940</v>
      </c>
      <c r="D80" s="1809" t="s">
        <v>2941</v>
      </c>
      <c r="E80" s="819" t="s">
        <v>2942</v>
      </c>
      <c r="F80" s="2870" t="s">
        <v>2958</v>
      </c>
      <c r="G80" s="1809" t="s">
        <v>754</v>
      </c>
      <c r="H80" s="2871" t="s">
        <v>2944</v>
      </c>
      <c r="I80" s="1809" t="s">
        <v>2945</v>
      </c>
      <c r="J80" s="603" t="s">
        <v>2594</v>
      </c>
      <c r="K80" s="603" t="s">
        <v>2595</v>
      </c>
      <c r="L80" s="603" t="s">
        <v>2596</v>
      </c>
      <c r="M80" s="603" t="s">
        <v>2597</v>
      </c>
      <c r="N80" s="603" t="s">
        <v>2598</v>
      </c>
      <c r="Z80" s="2719"/>
      <c r="AA80" s="2787"/>
      <c r="AG80" s="1372"/>
      <c r="AK80" s="2787"/>
    </row>
    <row r="81" spans="1:37" ht="38.25">
      <c r="A81" s="2869" t="s">
        <v>2965</v>
      </c>
      <c r="B81" s="2873" t="str">
        <f>估价对象房地状况!G15</f>
        <v>估价对象位于XX开发区，园区建设成熟度XX，产业集聚程度XX</v>
      </c>
      <c r="C81" s="2769"/>
      <c r="D81" s="1286">
        <f t="shared" ref="D81:D88" si="25">SUMIF($J$80:$N$80,C81,J81:N81)</f>
        <v>0</v>
      </c>
      <c r="E81" s="821">
        <f>ROUND(SUM(D81:D88),4)</f>
        <v>0</v>
      </c>
      <c r="F81" s="2500"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9"/>
      <c r="AA81" s="2787"/>
      <c r="AG81" s="1372"/>
      <c r="AK81" s="2787"/>
    </row>
    <row r="82" spans="1:37" ht="51">
      <c r="A82" s="2869" t="s">
        <v>2947</v>
      </c>
      <c r="B82" s="2873" t="str">
        <f>估价对象房地状况!G16</f>
        <v>估价对象周边道路状况、公共交通通达情况、停车便捷程度，综合评价交通便捷度较好</v>
      </c>
      <c r="C82" s="2769"/>
      <c r="D82" s="1286">
        <f t="shared" si="25"/>
        <v>0</v>
      </c>
      <c r="E82" s="826"/>
      <c r="F82" s="2500"/>
      <c r="G82" s="1284"/>
      <c r="H82" s="1288" t="str">
        <f t="shared" si="26"/>
        <v>——</v>
      </c>
      <c r="I82" s="820">
        <v>0.33</v>
      </c>
      <c r="J82" s="1285">
        <f t="shared" si="27"/>
        <v>0</v>
      </c>
      <c r="K82" s="1285">
        <f t="shared" si="28"/>
        <v>0</v>
      </c>
      <c r="L82" s="1285">
        <v>0</v>
      </c>
      <c r="M82" s="1285">
        <f t="shared" si="29"/>
        <v>0</v>
      </c>
      <c r="N82" s="1285">
        <f t="shared" si="29"/>
        <v>0</v>
      </c>
      <c r="Z82" s="2719"/>
      <c r="AA82" s="2787"/>
      <c r="AG82" s="1372"/>
      <c r="AK82" s="2787"/>
    </row>
    <row r="83" spans="1:37" ht="24">
      <c r="A83" s="2869" t="s">
        <v>2948</v>
      </c>
      <c r="B83" s="2873">
        <f>估价对象房地状况!G17</f>
        <v>0</v>
      </c>
      <c r="C83" s="2769"/>
      <c r="D83" s="1286">
        <f t="shared" si="25"/>
        <v>0</v>
      </c>
      <c r="E83" s="826"/>
      <c r="F83" s="2500"/>
      <c r="G83" s="1284"/>
      <c r="H83" s="1288" t="str">
        <f t="shared" si="26"/>
        <v>——</v>
      </c>
      <c r="I83" s="820">
        <v>0.05</v>
      </c>
      <c r="J83" s="1285">
        <f t="shared" si="27"/>
        <v>0</v>
      </c>
      <c r="K83" s="1285">
        <f t="shared" si="28"/>
        <v>0</v>
      </c>
      <c r="L83" s="1285">
        <v>0</v>
      </c>
      <c r="M83" s="1285">
        <f t="shared" si="29"/>
        <v>0</v>
      </c>
      <c r="N83" s="1285">
        <f t="shared" si="29"/>
        <v>0</v>
      </c>
      <c r="Z83" s="2719"/>
      <c r="AA83" s="2787"/>
      <c r="AG83" s="1372"/>
      <c r="AK83" s="2787"/>
    </row>
    <row r="84" spans="1:37" ht="14.25">
      <c r="A84" s="2869" t="s">
        <v>2962</v>
      </c>
      <c r="B84" s="2873">
        <f>估价对象房地状况!G22</f>
        <v>0</v>
      </c>
      <c r="C84" s="2769"/>
      <c r="D84" s="1286">
        <f t="shared" si="25"/>
        <v>0</v>
      </c>
      <c r="E84" s="826"/>
      <c r="F84" s="2500"/>
      <c r="G84" s="1284"/>
      <c r="H84" s="1288" t="str">
        <f t="shared" si="26"/>
        <v>——</v>
      </c>
      <c r="I84" s="820">
        <v>0.04</v>
      </c>
      <c r="J84" s="1285">
        <f t="shared" si="27"/>
        <v>0</v>
      </c>
      <c r="K84" s="1285">
        <f t="shared" si="28"/>
        <v>0</v>
      </c>
      <c r="L84" s="1285">
        <v>0</v>
      </c>
      <c r="M84" s="1285">
        <f t="shared" si="29"/>
        <v>0</v>
      </c>
      <c r="N84" s="1285">
        <f t="shared" si="29"/>
        <v>0</v>
      </c>
      <c r="Z84" s="2719"/>
      <c r="AA84" s="2787"/>
      <c r="AG84" s="1372"/>
      <c r="AK84" s="2787"/>
    </row>
    <row r="85" spans="1:37" ht="25.5">
      <c r="A85" s="2869" t="s">
        <v>2954</v>
      </c>
      <c r="B85" s="1725" t="str">
        <f>估价对象房地状况!G19</f>
        <v>估价对象所在区域公共配套设施齐备情况</v>
      </c>
      <c r="C85" s="2769"/>
      <c r="D85" s="1286">
        <f t="shared" si="25"/>
        <v>0</v>
      </c>
      <c r="E85" s="826"/>
      <c r="F85" s="2500"/>
      <c r="G85" s="1284"/>
      <c r="H85" s="1288" t="str">
        <f t="shared" si="26"/>
        <v>——</v>
      </c>
      <c r="I85" s="820">
        <v>0.06</v>
      </c>
      <c r="J85" s="1285">
        <f t="shared" si="27"/>
        <v>0</v>
      </c>
      <c r="K85" s="1285">
        <f t="shared" si="28"/>
        <v>0</v>
      </c>
      <c r="L85" s="1285">
        <v>0</v>
      </c>
      <c r="M85" s="1285">
        <f t="shared" si="29"/>
        <v>0</v>
      </c>
      <c r="N85" s="1285">
        <f t="shared" si="29"/>
        <v>0</v>
      </c>
      <c r="Z85" s="2719"/>
      <c r="AA85" s="2787"/>
      <c r="AG85" s="1372"/>
      <c r="AK85" s="2787"/>
    </row>
    <row r="86" spans="1:37" ht="25.5">
      <c r="A86" s="2869" t="s">
        <v>2955</v>
      </c>
      <c r="B86" s="1725" t="str">
        <f>估价对象房地状况!G20</f>
        <v>估价对象所在区域基础设施水平</v>
      </c>
      <c r="C86" s="2769"/>
      <c r="D86" s="1286">
        <f t="shared" si="25"/>
        <v>0</v>
      </c>
      <c r="E86" s="826"/>
      <c r="F86" s="2500"/>
      <c r="G86" s="1284"/>
      <c r="H86" s="1288" t="str">
        <f t="shared" si="26"/>
        <v>——</v>
      </c>
      <c r="I86" s="820">
        <v>0.15</v>
      </c>
      <c r="J86" s="1285">
        <f t="shared" si="27"/>
        <v>0</v>
      </c>
      <c r="K86" s="1285">
        <f t="shared" si="28"/>
        <v>0</v>
      </c>
      <c r="L86" s="1285">
        <v>0</v>
      </c>
      <c r="M86" s="1285">
        <f t="shared" si="29"/>
        <v>0</v>
      </c>
      <c r="N86" s="1285">
        <f t="shared" si="29"/>
        <v>0</v>
      </c>
      <c r="Z86" s="2719"/>
      <c r="AA86" s="2787"/>
      <c r="AG86" s="1372"/>
      <c r="AK86" s="2787"/>
    </row>
    <row r="87" spans="1:37" ht="24">
      <c r="A87" s="2869" t="s">
        <v>2952</v>
      </c>
      <c r="B87" s="2875" t="s">
        <v>2966</v>
      </c>
      <c r="C87" s="2769"/>
      <c r="D87" s="1286">
        <f t="shared" si="25"/>
        <v>0</v>
      </c>
      <c r="E87" s="826"/>
      <c r="F87" s="2500"/>
      <c r="G87" s="1284"/>
      <c r="H87" s="1288" t="str">
        <f t="shared" si="26"/>
        <v>——</v>
      </c>
      <c r="I87" s="820">
        <v>0.05</v>
      </c>
      <c r="J87" s="1285">
        <f t="shared" si="27"/>
        <v>0</v>
      </c>
      <c r="K87" s="1285">
        <f t="shared" si="28"/>
        <v>0</v>
      </c>
      <c r="L87" s="1285">
        <v>0</v>
      </c>
      <c r="M87" s="1285">
        <f t="shared" si="29"/>
        <v>0</v>
      </c>
      <c r="N87" s="1285">
        <f t="shared" si="29"/>
        <v>0</v>
      </c>
      <c r="Z87" s="2719"/>
      <c r="AA87" s="2787"/>
      <c r="AG87" s="1372"/>
      <c r="AK87" s="2787"/>
    </row>
    <row r="88" spans="1:37" ht="39" thickBot="1">
      <c r="A88" s="2877" t="s">
        <v>2967</v>
      </c>
      <c r="B88" s="2882" t="str">
        <f>估价对象房地状况!G18</f>
        <v>该园区内是否有污染型企业，绿化情况，卫生条件，整体环境状况判断</v>
      </c>
      <c r="C88" s="2769"/>
      <c r="D88" s="1286">
        <f t="shared" si="25"/>
        <v>0</v>
      </c>
      <c r="E88" s="827"/>
      <c r="F88" s="2500"/>
      <c r="G88" s="1284"/>
      <c r="H88" s="1288" t="str">
        <f t="shared" si="26"/>
        <v>——</v>
      </c>
      <c r="I88" s="824">
        <v>0.06</v>
      </c>
      <c r="J88" s="1285">
        <f t="shared" si="27"/>
        <v>0</v>
      </c>
      <c r="K88" s="1285">
        <f t="shared" si="28"/>
        <v>0</v>
      </c>
      <c r="L88" s="1285">
        <v>0</v>
      </c>
      <c r="M88" s="1285">
        <f t="shared" si="29"/>
        <v>0</v>
      </c>
      <c r="N88" s="1285">
        <f t="shared" si="29"/>
        <v>0</v>
      </c>
      <c r="Z88" s="2719"/>
      <c r="AA88" s="2787"/>
      <c r="AG88" s="1372"/>
      <c r="AK88" s="2787"/>
    </row>
    <row r="90" spans="1:37">
      <c r="A90" s="3167" t="s">
        <v>2968</v>
      </c>
      <c r="B90" s="3167"/>
      <c r="C90" s="3167"/>
      <c r="D90" s="3167"/>
      <c r="E90" s="3167"/>
      <c r="F90" s="3167"/>
      <c r="G90" s="3167"/>
      <c r="H90" s="3167"/>
      <c r="I90" s="3167"/>
      <c r="J90" s="3167"/>
      <c r="K90" s="2883"/>
      <c r="L90" s="2883"/>
      <c r="M90" s="2883"/>
      <c r="N90" s="2883"/>
    </row>
    <row r="91" spans="1:37">
      <c r="A91" s="3169" t="s">
        <v>2969</v>
      </c>
      <c r="B91" s="3169" t="s">
        <v>2970</v>
      </c>
      <c r="C91" s="2837" t="s">
        <v>2971</v>
      </c>
      <c r="D91" s="2838"/>
      <c r="E91" s="2838"/>
      <c r="F91" s="2838"/>
      <c r="G91" s="2838"/>
      <c r="H91" s="2838"/>
      <c r="I91" s="2838"/>
      <c r="J91" s="2884"/>
      <c r="K91" s="2885"/>
      <c r="L91" s="2885"/>
      <c r="M91" s="2885"/>
      <c r="N91" s="2885"/>
    </row>
    <row r="92" spans="1:37">
      <c r="A92" s="3169"/>
      <c r="B92" s="3169"/>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170" t="s">
        <v>2972</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171"/>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171"/>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171"/>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171"/>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171"/>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171"/>
      <c r="B99" s="2886" t="s">
        <v>2854</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172"/>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170" t="s">
        <v>2973</v>
      </c>
      <c r="B101" s="2890" t="s">
        <v>2974</v>
      </c>
      <c r="C101" s="2891">
        <f>$G$3</f>
        <v>8.92</v>
      </c>
      <c r="D101" s="2891">
        <f t="shared" ref="D101:N101" si="31">$G$3</f>
        <v>8.92</v>
      </c>
      <c r="E101" s="2891">
        <f t="shared" si="31"/>
        <v>8.92</v>
      </c>
      <c r="F101" s="2891">
        <f t="shared" si="31"/>
        <v>8.92</v>
      </c>
      <c r="G101" s="2891">
        <f t="shared" si="31"/>
        <v>8.92</v>
      </c>
      <c r="H101" s="2891">
        <f t="shared" si="31"/>
        <v>8.92</v>
      </c>
      <c r="I101" s="2891">
        <f t="shared" si="31"/>
        <v>8.92</v>
      </c>
      <c r="J101" s="2891">
        <f t="shared" si="31"/>
        <v>8.92</v>
      </c>
      <c r="K101" s="2891">
        <f t="shared" si="31"/>
        <v>8.92</v>
      </c>
      <c r="L101" s="2891">
        <f t="shared" si="31"/>
        <v>8.92</v>
      </c>
      <c r="M101" s="2891">
        <f t="shared" si="31"/>
        <v>8.92</v>
      </c>
      <c r="N101" s="2891">
        <f t="shared" si="31"/>
        <v>8.92</v>
      </c>
    </row>
    <row r="102" spans="1:14">
      <c r="A102" s="3171"/>
      <c r="B102" s="2886">
        <v>1</v>
      </c>
      <c r="C102" s="2887">
        <f>1.9362/C101</f>
        <v>0.21706278026905829</v>
      </c>
      <c r="D102" s="2887">
        <f>1.9362/D101</f>
        <v>0.21706278026905829</v>
      </c>
      <c r="E102" s="2887">
        <f>1.8629/E101</f>
        <v>0.20884529147982062</v>
      </c>
      <c r="F102" s="2887">
        <f>1.8629/F101</f>
        <v>0.20884529147982062</v>
      </c>
      <c r="G102" s="2887">
        <f>1.8629/G101</f>
        <v>0.20884529147982062</v>
      </c>
      <c r="H102" s="2887">
        <f>1.8629/H101</f>
        <v>0.20884529147982062</v>
      </c>
      <c r="I102" s="2887">
        <f>1.8629/I101</f>
        <v>0.20884529147982062</v>
      </c>
      <c r="J102" s="2887">
        <f>1.942/J101</f>
        <v>0.21771300448430492</v>
      </c>
      <c r="K102" s="2887">
        <f>1.942/K101</f>
        <v>0.21771300448430492</v>
      </c>
      <c r="L102" s="2887">
        <f>1.942/L101</f>
        <v>0.21771300448430492</v>
      </c>
      <c r="M102" s="2887">
        <f>1.942/M101</f>
        <v>0.21771300448430492</v>
      </c>
      <c r="N102" s="2887">
        <f>1.942/N101</f>
        <v>0.21771300448430492</v>
      </c>
    </row>
    <row r="103" spans="1:14">
      <c r="A103" s="3171"/>
      <c r="B103" s="2886">
        <v>2</v>
      </c>
      <c r="C103" s="2887">
        <f>1.4198/C101</f>
        <v>0.15917040358744394</v>
      </c>
      <c r="D103" s="2887">
        <f>1.4198/D101</f>
        <v>0.15917040358744394</v>
      </c>
      <c r="E103" s="2887">
        <f>1.3372/E101</f>
        <v>0.14991031390134529</v>
      </c>
      <c r="F103" s="2887">
        <f>1.3372/F101</f>
        <v>0.14991031390134529</v>
      </c>
      <c r="G103" s="2887">
        <f>1.3372/G101</f>
        <v>0.14991031390134529</v>
      </c>
      <c r="H103" s="2887">
        <f>1.3372/H101</f>
        <v>0.14991031390134529</v>
      </c>
      <c r="I103" s="2887">
        <f>1.3372/I101</f>
        <v>0.14991031390134529</v>
      </c>
      <c r="J103" s="2887">
        <f>1.2799/J101</f>
        <v>0.14348654708520181</v>
      </c>
      <c r="K103" s="2887">
        <f>1.2799/K101</f>
        <v>0.14348654708520181</v>
      </c>
      <c r="L103" s="2887">
        <f>1.2799/L101</f>
        <v>0.14348654708520181</v>
      </c>
      <c r="M103" s="2887">
        <f>1.2799/M101</f>
        <v>0.14348654708520181</v>
      </c>
      <c r="N103" s="2887">
        <f>1.2799/N101</f>
        <v>0.14348654708520181</v>
      </c>
    </row>
    <row r="104" spans="1:14">
      <c r="A104" s="3171"/>
      <c r="B104" s="2886">
        <v>3</v>
      </c>
      <c r="C104" s="2887">
        <f>1.1594/C101</f>
        <v>0.12997757847533634</v>
      </c>
      <c r="D104" s="2887">
        <f>1.1594/D101</f>
        <v>0.12997757847533634</v>
      </c>
      <c r="E104" s="2887">
        <f>1.0788/E101</f>
        <v>0.12094170403587444</v>
      </c>
      <c r="F104" s="2887">
        <f>1.0788/F101</f>
        <v>0.12094170403587444</v>
      </c>
      <c r="G104" s="2887">
        <f>1.0788/G101</f>
        <v>0.12094170403587444</v>
      </c>
      <c r="H104" s="2887">
        <f>1.0788/H101</f>
        <v>0.12094170403587444</v>
      </c>
      <c r="I104" s="2887">
        <f>1.0788/I101</f>
        <v>0.12094170403587444</v>
      </c>
      <c r="J104" s="2887">
        <f>1.0072/J101</f>
        <v>0.11291479820627803</v>
      </c>
      <c r="K104" s="2887">
        <f>1.0072/K101</f>
        <v>0.11291479820627803</v>
      </c>
      <c r="L104" s="2887">
        <f>1.0072/L101</f>
        <v>0.11291479820627803</v>
      </c>
      <c r="M104" s="2887">
        <f>1.0072/M101</f>
        <v>0.11291479820627803</v>
      </c>
      <c r="N104" s="2887">
        <f>1.0072/N101</f>
        <v>0.11291479820627803</v>
      </c>
    </row>
    <row r="105" spans="1:14">
      <c r="A105" s="3171"/>
      <c r="B105" s="2886">
        <v>4</v>
      </c>
      <c r="C105" s="2887">
        <f>0.9622/C101</f>
        <v>0.10786995515695068</v>
      </c>
      <c r="D105" s="2887">
        <f>0.9622/D101</f>
        <v>0.10786995515695068</v>
      </c>
      <c r="E105" s="2887">
        <f>0.8656/E101</f>
        <v>9.7040358744394623E-2</v>
      </c>
      <c r="F105" s="2887">
        <f>0.8656/F101</f>
        <v>9.7040358744394623E-2</v>
      </c>
      <c r="G105" s="2887">
        <f>0.8656/G101</f>
        <v>9.7040358744394623E-2</v>
      </c>
      <c r="H105" s="2887">
        <f>0.8656/H101</f>
        <v>9.7040358744394623E-2</v>
      </c>
      <c r="I105" s="2887">
        <f>0.8656/I101</f>
        <v>9.7040358744394623E-2</v>
      </c>
      <c r="J105" s="2887">
        <f>0.7525/J101</f>
        <v>8.4360986547085196E-2</v>
      </c>
      <c r="K105" s="2887">
        <f>0.7525/K101</f>
        <v>8.4360986547085196E-2</v>
      </c>
      <c r="L105" s="2887">
        <f>0.7525/L101</f>
        <v>8.4360986547085196E-2</v>
      </c>
      <c r="M105" s="2887">
        <f>0.7525/M101</f>
        <v>8.4360986547085196E-2</v>
      </c>
      <c r="N105" s="2887">
        <f>0.7525/N101</f>
        <v>8.4360986547085196E-2</v>
      </c>
    </row>
    <row r="106" spans="1:14">
      <c r="A106" s="3171"/>
      <c r="B106" s="2886">
        <v>5</v>
      </c>
      <c r="C106" s="2887">
        <f>0.8417/C101</f>
        <v>9.4360986547085204E-2</v>
      </c>
      <c r="D106" s="2887">
        <f>0.8417/D101</f>
        <v>9.4360986547085204E-2</v>
      </c>
      <c r="E106" s="2887">
        <f>0.7371/E101</f>
        <v>8.2634529147982055E-2</v>
      </c>
      <c r="F106" s="2887">
        <f>0.7371/F101</f>
        <v>8.2634529147982055E-2</v>
      </c>
      <c r="G106" s="2887">
        <f>0.7371/G101</f>
        <v>8.2634529147982055E-2</v>
      </c>
      <c r="H106" s="2887">
        <f>0.7371/H101</f>
        <v>8.2634529147982055E-2</v>
      </c>
      <c r="I106" s="2887">
        <f>0.7371/I101</f>
        <v>8.2634529147982055E-2</v>
      </c>
      <c r="J106" s="2887">
        <f>0.5659/J101</f>
        <v>6.344170403587443E-2</v>
      </c>
      <c r="K106" s="2887">
        <f>0.5659/K101</f>
        <v>6.344170403587443E-2</v>
      </c>
      <c r="L106" s="2887">
        <f>0.5659/L101</f>
        <v>6.344170403587443E-2</v>
      </c>
      <c r="M106" s="2887">
        <f>0.5659/M101</f>
        <v>6.344170403587443E-2</v>
      </c>
      <c r="N106" s="2887">
        <f>0.5659/N101</f>
        <v>6.344170403587443E-2</v>
      </c>
    </row>
    <row r="107" spans="1:14">
      <c r="A107" s="3171"/>
      <c r="B107" s="2886">
        <v>6</v>
      </c>
      <c r="C107" s="2887">
        <f>0.7608/C101</f>
        <v>8.5291479820627805E-2</v>
      </c>
      <c r="D107" s="2887">
        <f>0.7608/D101</f>
        <v>8.5291479820627805E-2</v>
      </c>
      <c r="E107" s="2887">
        <f>0.6482/E101</f>
        <v>7.2668161434977577E-2</v>
      </c>
      <c r="F107" s="2887">
        <f>0.6482/F101</f>
        <v>7.2668161434977577E-2</v>
      </c>
      <c r="G107" s="2887">
        <f>0.6482/G101</f>
        <v>7.2668161434977577E-2</v>
      </c>
      <c r="H107" s="2887">
        <f>0.6482/H101</f>
        <v>7.2668161434977577E-2</v>
      </c>
      <c r="I107" s="2887">
        <f>0.6482/I101</f>
        <v>7.2668161434977577E-2</v>
      </c>
      <c r="J107" s="2887">
        <f>0.4525/J101</f>
        <v>5.0728699551569507E-2</v>
      </c>
      <c r="K107" s="2887">
        <f>0.4525/K101</f>
        <v>5.0728699551569507E-2</v>
      </c>
      <c r="L107" s="2887">
        <f>0.4525/L101</f>
        <v>5.0728699551569507E-2</v>
      </c>
      <c r="M107" s="2887">
        <f>0.4525/M101</f>
        <v>5.0728699551569507E-2</v>
      </c>
      <c r="N107" s="2887">
        <f>0.4525/N101</f>
        <v>5.0728699551569507E-2</v>
      </c>
    </row>
    <row r="108" spans="1:14">
      <c r="A108" s="3171"/>
      <c r="B108" s="3125" t="s">
        <v>2975</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172"/>
      <c r="B109" s="3126"/>
      <c r="C109" s="2889">
        <f>(-0.163*(C108^2)-0.59*C108+7617)*(10^(-4))/C101</f>
        <v>8.5392376681614354E-2</v>
      </c>
      <c r="D109" s="2889">
        <f>(-0.163*(D108^2)-0.59*D108+7617)*(10^(-4))/D101</f>
        <v>8.5392376681614354E-2</v>
      </c>
      <c r="E109" s="2889">
        <f>(-0.161*(E108^2)-7.509*E108+6533)*(10^(-4))/E101</f>
        <v>7.3239910313901341E-2</v>
      </c>
      <c r="F109" s="2889">
        <f>(-0.161*(F108^2)-7.509*F108+6533)*(10^(-4))/F101</f>
        <v>7.3239910313901341E-2</v>
      </c>
      <c r="G109" s="2889">
        <f>(-0.161*(G108^2)-7.509*G108+6533)*(10^(-4))/G101</f>
        <v>7.3239910313901341E-2</v>
      </c>
      <c r="H109" s="2889">
        <f>(-0.161*(H108^2)-7.509*H108+6533)*(10^(-4))/H101</f>
        <v>7.3239910313901341E-2</v>
      </c>
      <c r="I109" s="2889">
        <f>(-0.161*(I108^2)-7.509*I108+6533)*(10^(-4))/I101</f>
        <v>7.3239910313901341E-2</v>
      </c>
      <c r="J109" s="2889">
        <f>(-0.214*(J108^2)-21.991*J108+4665)*(10^(-4))/J101</f>
        <v>5.2298206278026907E-2</v>
      </c>
      <c r="K109" s="2889">
        <f>(-0.214*(K108^2)-21.991*K108+4665)*(10^(-4))/K101</f>
        <v>5.2298206278026907E-2</v>
      </c>
      <c r="L109" s="2889">
        <f>(-0.214*(L108^2)-21.991*L108+4665)*(10^(-4))/L101</f>
        <v>5.2298206278026907E-2</v>
      </c>
      <c r="M109" s="2889">
        <f>(-0.214*(M108^2)-21.991*M108+4665)*(10^(-4))/M101</f>
        <v>5.2298206278026907E-2</v>
      </c>
      <c r="N109" s="2889">
        <f>(-0.214*(N108^2)-21.991*N108+4665)*(10^(-4))/N101</f>
        <v>5.2298206278026907E-2</v>
      </c>
    </row>
    <row r="110" spans="1:14">
      <c r="A110" s="3168" t="s">
        <v>2976</v>
      </c>
      <c r="B110" s="3168"/>
      <c r="C110" s="3168"/>
      <c r="D110" s="3168"/>
      <c r="E110" s="3168"/>
      <c r="F110" s="3168"/>
      <c r="G110" s="3168"/>
      <c r="H110" s="3168"/>
      <c r="I110" s="3168"/>
      <c r="J110" s="3168"/>
      <c r="K110" s="2892"/>
      <c r="L110" s="2892"/>
      <c r="M110" s="2892"/>
      <c r="N110" s="2892"/>
    </row>
    <row r="112" spans="1:14" ht="13.5" thickBot="1"/>
    <row r="113" spans="1:13" ht="25.5" thickBot="1">
      <c r="A113" s="903" t="s">
        <v>2977</v>
      </c>
      <c r="B113" s="1287">
        <f>G3</f>
        <v>8.92</v>
      </c>
      <c r="C113" s="904" t="s">
        <v>2978</v>
      </c>
      <c r="D113" s="905">
        <f>SUMPRODUCT((A115:A118=F113)*(B114:M114=H113)*B115:M118)</f>
        <v>0.84199999999999997</v>
      </c>
      <c r="E113" s="2723" t="s">
        <v>2811</v>
      </c>
      <c r="F113" s="2894" t="str">
        <f>E2</f>
        <v>办公</v>
      </c>
      <c r="G113" s="2723" t="s">
        <v>2812</v>
      </c>
      <c r="H113" s="2894" t="str">
        <f>G2</f>
        <v>二级</v>
      </c>
      <c r="I113" s="2723"/>
      <c r="J113" s="2895"/>
      <c r="K113" s="2895"/>
      <c r="L113" s="2895"/>
      <c r="M113" s="2895"/>
    </row>
    <row r="114" spans="1:13">
      <c r="A114" s="908"/>
      <c r="B114" s="2896" t="s">
        <v>2979</v>
      </c>
      <c r="C114" s="2896" t="s">
        <v>2980</v>
      </c>
      <c r="D114" s="2896" t="s">
        <v>2981</v>
      </c>
      <c r="E114" s="2897" t="s">
        <v>2982</v>
      </c>
      <c r="F114" s="2897" t="s">
        <v>2983</v>
      </c>
      <c r="G114" s="2897" t="s">
        <v>2984</v>
      </c>
      <c r="H114" s="2898" t="s">
        <v>2985</v>
      </c>
      <c r="I114" s="2898" t="s">
        <v>2986</v>
      </c>
      <c r="J114" s="2899" t="s">
        <v>2987</v>
      </c>
      <c r="K114" s="2899" t="s">
        <v>2988</v>
      </c>
      <c r="L114" s="2899" t="s">
        <v>2989</v>
      </c>
      <c r="M114" s="2900" t="s">
        <v>2990</v>
      </c>
    </row>
    <row r="115" spans="1:13">
      <c r="A115" s="909" t="s">
        <v>2876</v>
      </c>
      <c r="B115" s="910">
        <f>ROUND(0.9335-0.0094*B113,4)</f>
        <v>0.84970000000000001</v>
      </c>
      <c r="C115" s="910">
        <f>B115</f>
        <v>0.84970000000000001</v>
      </c>
      <c r="D115" s="910">
        <f>ROUND(0.8331-0.0109*B113,4)</f>
        <v>0.7359</v>
      </c>
      <c r="E115" s="910">
        <f>D115</f>
        <v>0.7359</v>
      </c>
      <c r="F115" s="910">
        <f>E115</f>
        <v>0.7359</v>
      </c>
      <c r="G115" s="910">
        <f>F115</f>
        <v>0.7359</v>
      </c>
      <c r="H115" s="910">
        <f>G115</f>
        <v>0.7359</v>
      </c>
      <c r="I115" s="910">
        <f>ROUND(0.689-0.0155*B113,4)</f>
        <v>0.55069999999999997</v>
      </c>
      <c r="J115" s="910">
        <f t="shared" ref="J115:M118" si="33">I115</f>
        <v>0.55069999999999997</v>
      </c>
      <c r="K115" s="910">
        <f t="shared" si="33"/>
        <v>0.55069999999999997</v>
      </c>
      <c r="L115" s="910">
        <f t="shared" si="33"/>
        <v>0.55069999999999997</v>
      </c>
      <c r="M115" s="911">
        <f t="shared" si="33"/>
        <v>0.55069999999999997</v>
      </c>
    </row>
    <row r="116" spans="1:13">
      <c r="A116" s="909" t="s">
        <v>2877</v>
      </c>
      <c r="B116" s="910">
        <f>ROUND(0.949-0.012*B113,4)</f>
        <v>0.84199999999999997</v>
      </c>
      <c r="C116" s="910">
        <f>B116</f>
        <v>0.84199999999999997</v>
      </c>
      <c r="D116" s="910">
        <f>ROUND(0.8567-0.013*B113,4)</f>
        <v>0.74070000000000003</v>
      </c>
      <c r="E116" s="910">
        <f t="shared" ref="E116:H117" si="34">D116</f>
        <v>0.74070000000000003</v>
      </c>
      <c r="F116" s="910">
        <f t="shared" si="34"/>
        <v>0.74070000000000003</v>
      </c>
      <c r="G116" s="910">
        <f t="shared" si="34"/>
        <v>0.74070000000000003</v>
      </c>
      <c r="H116" s="910">
        <f t="shared" si="34"/>
        <v>0.74070000000000003</v>
      </c>
      <c r="I116" s="910">
        <f>ROUND(0.7694-0.014*B113,4)</f>
        <v>0.64449999999999996</v>
      </c>
      <c r="J116" s="910">
        <f t="shared" si="33"/>
        <v>0.64449999999999996</v>
      </c>
      <c r="K116" s="910">
        <f t="shared" si="33"/>
        <v>0.64449999999999996</v>
      </c>
      <c r="L116" s="910">
        <f t="shared" si="33"/>
        <v>0.64449999999999996</v>
      </c>
      <c r="M116" s="911">
        <f t="shared" si="33"/>
        <v>0.64449999999999996</v>
      </c>
    </row>
    <row r="117" spans="1:13">
      <c r="A117" s="909" t="s">
        <v>2878</v>
      </c>
      <c r="B117" s="910">
        <f>ROUND(0.8808-0.006*B113,4)</f>
        <v>0.82730000000000004</v>
      </c>
      <c r="C117" s="910">
        <f>B117</f>
        <v>0.82730000000000004</v>
      </c>
      <c r="D117" s="910">
        <f>ROUND(0.8748-0.008*B113,4)</f>
        <v>0.8034</v>
      </c>
      <c r="E117" s="910">
        <f t="shared" si="34"/>
        <v>0.8034</v>
      </c>
      <c r="F117" s="910">
        <f t="shared" si="34"/>
        <v>0.8034</v>
      </c>
      <c r="G117" s="910">
        <f t="shared" si="34"/>
        <v>0.8034</v>
      </c>
      <c r="H117" s="910">
        <f t="shared" si="34"/>
        <v>0.8034</v>
      </c>
      <c r="I117" s="910">
        <f>ROUND(0.7412-0.0095*B113,4)</f>
        <v>0.65649999999999997</v>
      </c>
      <c r="J117" s="910">
        <f t="shared" si="33"/>
        <v>0.65649999999999997</v>
      </c>
      <c r="K117" s="910">
        <f t="shared" si="33"/>
        <v>0.65649999999999997</v>
      </c>
      <c r="L117" s="910">
        <f t="shared" si="33"/>
        <v>0.65649999999999997</v>
      </c>
      <c r="M117" s="911">
        <f t="shared" si="33"/>
        <v>0.65649999999999997</v>
      </c>
    </row>
    <row r="118" spans="1:13" ht="13.5" thickBot="1">
      <c r="A118" s="714" t="s">
        <v>2879</v>
      </c>
      <c r="B118" s="912">
        <f>ROUND(0.7275-0.01*B113,4)</f>
        <v>0.63829999999999998</v>
      </c>
      <c r="C118" s="912">
        <f>B118</f>
        <v>0.63829999999999998</v>
      </c>
      <c r="D118" s="912">
        <f>ROUND(0.7043-0.012*B113,4)</f>
        <v>0.59730000000000005</v>
      </c>
      <c r="E118" s="912">
        <f>D118</f>
        <v>0.59730000000000005</v>
      </c>
      <c r="F118" s="912">
        <f>E118</f>
        <v>0.59730000000000005</v>
      </c>
      <c r="G118" s="912">
        <f>ROUND(0.6299-0.0122*B113,4)</f>
        <v>0.52110000000000001</v>
      </c>
      <c r="H118" s="912">
        <f>G118</f>
        <v>0.52110000000000001</v>
      </c>
      <c r="I118" s="912">
        <f>ROUND(0.5667-0.0136*B113,4)</f>
        <v>0.44540000000000002</v>
      </c>
      <c r="J118" s="912">
        <f t="shared" si="33"/>
        <v>0.44540000000000002</v>
      </c>
      <c r="K118" s="912">
        <f t="shared" si="33"/>
        <v>0.44540000000000002</v>
      </c>
      <c r="L118" s="912">
        <f t="shared" si="33"/>
        <v>0.44540000000000002</v>
      </c>
      <c r="M118" s="913">
        <f t="shared" si="33"/>
        <v>0.44540000000000002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6"/>
      <c r="C1" s="2552"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1956</v>
      </c>
      <c r="C2" s="243" t="s">
        <v>2325</v>
      </c>
      <c r="D2" s="2546" t="s">
        <v>70</v>
      </c>
      <c r="E2" s="1440" t="e">
        <f ca="1">SUMIF(INDIRECT("'"&amp;G2&amp;"'"&amp;"!A:A"),"承租人权益价值",INDIRECT("'"&amp;G2&amp;"'"&amp;"!c:c"))</f>
        <v>#REF!</v>
      </c>
      <c r="F2" s="2547" t="s">
        <v>2325</v>
      </c>
      <c r="G2" s="2548"/>
    </row>
    <row r="3" spans="1:8" s="244" customFormat="1" ht="18" customHeight="1" thickBot="1">
      <c r="A3" s="247" t="s">
        <v>2326</v>
      </c>
      <c r="B3" s="248">
        <f ca="1">ROUND(B2*10000/(IF(B1="",'数据-汇总表'!E3,INDIRECT("'数据-取费表'!k"&amp;$G$1))),0)</f>
        <v>3890</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1005716</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c r="A8" s="949" t="s">
        <v>2338</v>
      </c>
      <c r="B8" s="259" t="s">
        <v>2339</v>
      </c>
      <c r="C8" s="264">
        <f ca="1">IF(G8="已包含在土地购买价格中",0,C9+C10)</f>
        <v>1005716</v>
      </c>
      <c r="D8" s="266"/>
      <c r="E8" s="264"/>
      <c r="F8" s="265"/>
      <c r="G8" s="2549"/>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1005716</v>
      </c>
      <c r="D10" s="1032">
        <f ca="1">IF(B1="",'数据-汇总表'!E6,IF(INDIRECT("'数据-取费表'!c"&amp;$G$1)="住宅",INDIRECT("'数据-取费表'!s"&amp;$G$1),INDIRECT("'数据-取费表'!k"&amp;$G$1)+INDIRECT("'数据-取费表'!s"&amp;$G$1)))</f>
        <v>5028.579999999999</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1005716</v>
      </c>
      <c r="D19" s="1036">
        <f ca="1">D9+D10</f>
        <v>5028.579999999999</v>
      </c>
      <c r="E19" s="255">
        <f>'数据-取费表'!B31</f>
        <v>200</v>
      </c>
      <c r="F19" s="275"/>
      <c r="G19" s="2549"/>
    </row>
    <row r="20" spans="1:7" s="258" customFormat="1" ht="13.5" customHeight="1">
      <c r="A20" s="299" t="s">
        <v>2436</v>
      </c>
      <c r="B20" s="254" t="s">
        <v>2437</v>
      </c>
      <c r="C20" s="276">
        <f ca="1">ROUND((C5+C19)*F20,0)</f>
        <v>20114</v>
      </c>
      <c r="D20" s="276"/>
      <c r="E20" s="276"/>
      <c r="F20" s="277">
        <f>'数据-取费表'!B37</f>
        <v>0.01</v>
      </c>
      <c r="G20" s="278" t="s">
        <v>2438</v>
      </c>
    </row>
    <row r="21" spans="1:7" s="258" customFormat="1" ht="13.5" customHeight="1">
      <c r="A21" s="299" t="s">
        <v>2439</v>
      </c>
      <c r="B21" s="254" t="s">
        <v>2440</v>
      </c>
      <c r="C21" s="279">
        <f>F21</f>
        <v>0.01</v>
      </c>
      <c r="D21" s="280" t="s">
        <v>2441</v>
      </c>
      <c r="E21" s="276"/>
      <c r="F21" s="277">
        <f>'数据-取费表'!B38</f>
        <v>0.01</v>
      </c>
      <c r="G21" s="278" t="s">
        <v>2442</v>
      </c>
    </row>
    <row r="22" spans="1:7" s="258" customFormat="1" ht="13.5" customHeight="1">
      <c r="A22" s="299" t="s">
        <v>2443</v>
      </c>
      <c r="B22" s="254" t="s">
        <v>2444</v>
      </c>
      <c r="C22" s="1380">
        <f ca="1">ROUND(SUM(C23:C25),0)</f>
        <v>145716</v>
      </c>
      <c r="D22" s="279">
        <f ca="1">C26</f>
        <v>4.0000000000000002E-4</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72502</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72502</v>
      </c>
      <c r="D24" s="282"/>
      <c r="E24" s="282"/>
      <c r="F24" s="283"/>
      <c r="G24" s="284" t="s">
        <v>2448</v>
      </c>
    </row>
    <row r="25" spans="1:7" s="258" customFormat="1" ht="24">
      <c r="A25" s="951" t="s">
        <v>2338</v>
      </c>
      <c r="B25" s="259" t="s">
        <v>2449</v>
      </c>
      <c r="C25" s="1381">
        <f ca="1">ROUND(IF('数据-取费表'!B22&lt;=1,C20*F22*'数据-取费表'!B22/2,C20*(POWER((1+F22),'数据-取费表'!B22/2)-1)),0)</f>
        <v>712</v>
      </c>
      <c r="D25" s="282"/>
      <c r="E25" s="285"/>
      <c r="F25" s="283"/>
      <c r="G25" s="286" t="s">
        <v>2450</v>
      </c>
    </row>
    <row r="26" spans="1:7" s="258" customFormat="1">
      <c r="A26" s="951" t="s">
        <v>795</v>
      </c>
      <c r="B26" s="259" t="s">
        <v>2373</v>
      </c>
      <c r="C26" s="282">
        <f ca="1">ROUND(IF('数据-取费表'!B22&lt;=1,F21*F22*'数据-取费表'!B22/2,F21*(POWER((1+F22),'数据-取费表'!B22/2)-1)),4)</f>
        <v>4.0000000000000002E-4</v>
      </c>
      <c r="D26" s="282"/>
      <c r="E26" s="285"/>
      <c r="F26" s="283"/>
      <c r="G26" s="287"/>
    </row>
    <row r="27" spans="1:7" s="258" customFormat="1" ht="24.75">
      <c r="A27" s="299" t="s">
        <v>2374</v>
      </c>
      <c r="B27" s="288" t="s">
        <v>2375</v>
      </c>
      <c r="C27" s="289">
        <f ca="1">C28</f>
        <v>406309</v>
      </c>
      <c r="D27" s="279">
        <f ca="1">C29</f>
        <v>2E-3</v>
      </c>
      <c r="E27" s="280" t="s">
        <v>2376</v>
      </c>
      <c r="F27" s="290">
        <f ca="1">IF(B1="",'数据-取费表'!Q16,INDIRECT("'数据-取费表'!q"&amp;$G$1))</f>
        <v>0.2</v>
      </c>
      <c r="G27" s="291" t="s">
        <v>2377</v>
      </c>
    </row>
    <row r="28" spans="1:7" s="258" customFormat="1" ht="13.5" customHeight="1">
      <c r="A28" s="951" t="s">
        <v>791</v>
      </c>
      <c r="B28" s="292" t="s">
        <v>2378</v>
      </c>
      <c r="C28" s="293">
        <f ca="1">ROUND((C5+C19+C20)*F27,0)</f>
        <v>406309</v>
      </c>
      <c r="D28" s="279"/>
      <c r="E28" s="280"/>
      <c r="F28" s="290"/>
      <c r="G28" s="291"/>
    </row>
    <row r="29" spans="1:7" s="258" customFormat="1" ht="13.5" customHeight="1">
      <c r="A29" s="951" t="s">
        <v>792</v>
      </c>
      <c r="B29" s="292" t="s">
        <v>2379</v>
      </c>
      <c r="C29" s="282">
        <f ca="1">ROUND(C21*F27,4)</f>
        <v>2E-3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2765248</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16770314</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15085740</v>
      </c>
      <c r="D34" s="261"/>
      <c r="E34" s="264"/>
      <c r="F34" s="301"/>
      <c r="G34" s="263"/>
    </row>
    <row r="35" spans="1:7" ht="13.5" customHeight="1">
      <c r="A35" s="951" t="s">
        <v>796</v>
      </c>
      <c r="B35" s="259" t="s">
        <v>2389</v>
      </c>
      <c r="C35" s="264">
        <f ca="1">ROUND(C34*F35,0)</f>
        <v>452572</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1005716</v>
      </c>
      <c r="D37" s="261">
        <f ca="1">D19</f>
        <v>5028.579999999999</v>
      </c>
      <c r="E37" s="293">
        <f>'数据-取费表'!B35</f>
        <v>200</v>
      </c>
      <c r="F37" s="303"/>
      <c r="G37" s="305"/>
    </row>
    <row r="38" spans="1:7" ht="13.5" customHeight="1">
      <c r="A38" s="951" t="s">
        <v>799</v>
      </c>
      <c r="B38" s="259" t="s">
        <v>2395</v>
      </c>
      <c r="C38" s="264">
        <f ca="1">ROUND(C34*F38,0)</f>
        <v>226286</v>
      </c>
      <c r="D38" s="264"/>
      <c r="E38" s="264"/>
      <c r="F38" s="303">
        <f>'数据-取费表'!B36</f>
        <v>1.4999999999999999E-2</v>
      </c>
      <c r="G38" s="263" t="s">
        <v>2390</v>
      </c>
    </row>
    <row r="39" spans="1:7" s="258" customFormat="1" ht="13.5" customHeight="1">
      <c r="A39" s="299" t="s">
        <v>2396</v>
      </c>
      <c r="B39" s="254" t="s">
        <v>2397</v>
      </c>
      <c r="C39" s="276">
        <f ca="1">ROUND(C33*F20,0)</f>
        <v>167703</v>
      </c>
      <c r="D39" s="276"/>
      <c r="E39" s="276"/>
      <c r="F39" s="277"/>
      <c r="G39" s="278" t="s">
        <v>2398</v>
      </c>
    </row>
    <row r="40" spans="1:7" s="258" customFormat="1" ht="13.5" customHeight="1">
      <c r="A40" s="299" t="s">
        <v>2399</v>
      </c>
      <c r="B40" s="254" t="s">
        <v>2400</v>
      </c>
      <c r="C40" s="1728">
        <f>F21</f>
        <v>0.01</v>
      </c>
      <c r="D40" s="280" t="s">
        <v>2401</v>
      </c>
      <c r="E40" s="276"/>
      <c r="F40" s="277"/>
      <c r="G40" s="278" t="s">
        <v>2402</v>
      </c>
    </row>
    <row r="41" spans="1:7" s="258" customFormat="1" ht="13.5" customHeight="1">
      <c r="A41" s="299" t="s">
        <v>2403</v>
      </c>
      <c r="B41" s="254" t="s">
        <v>2404</v>
      </c>
      <c r="C41" s="276">
        <f ca="1">ROUND(SUM(C42:C43),0)</f>
        <v>599904</v>
      </c>
      <c r="D41" s="279">
        <f ca="1">C44</f>
        <v>4.0000000000000002E-4</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593964</v>
      </c>
      <c r="D42" s="282"/>
      <c r="E42" s="282"/>
      <c r="F42" s="283"/>
      <c r="G42" s="3152" t="s">
        <v>2453</v>
      </c>
    </row>
    <row r="43" spans="1:7" ht="13.5" customHeight="1">
      <c r="A43" s="951" t="s">
        <v>792</v>
      </c>
      <c r="B43" s="259" t="s">
        <v>2407</v>
      </c>
      <c r="C43" s="282">
        <f ca="1">ROUND(IF('数据-取费表'!B22&lt;=1,C39*F22*'数据-取费表'!B20/2,C39*(POWER((1+F22),'数据-取费表'!B20/2)-1)),0)</f>
        <v>5940</v>
      </c>
      <c r="D43" s="282"/>
      <c r="E43" s="282"/>
      <c r="F43" s="283"/>
      <c r="G43" s="3153"/>
    </row>
    <row r="44" spans="1:7" ht="13.5" customHeight="1">
      <c r="A44" s="951" t="s">
        <v>793</v>
      </c>
      <c r="B44" s="259" t="s">
        <v>2408</v>
      </c>
      <c r="C44" s="282">
        <f ca="1">ROUND(IF('数据-取费表'!B22&lt;=1,C40*F22*'数据-取费表'!B20/2,C40*(POWER((1+F22),'数据-取费表'!B20/2)-1)),4)</f>
        <v>4.0000000000000002E-4</v>
      </c>
      <c r="D44" s="282"/>
      <c r="E44" s="282"/>
      <c r="F44" s="283"/>
      <c r="G44" s="3154"/>
    </row>
    <row r="45" spans="1:7" s="258" customFormat="1" ht="13.5" customHeight="1">
      <c r="A45" s="299" t="s">
        <v>2409</v>
      </c>
      <c r="B45" s="288" t="s">
        <v>2375</v>
      </c>
      <c r="C45" s="289">
        <f ca="1">C46</f>
        <v>3387603</v>
      </c>
      <c r="D45" s="279">
        <f ca="1">C47</f>
        <v>2E-3</v>
      </c>
      <c r="E45" s="280" t="s">
        <v>2401</v>
      </c>
      <c r="F45" s="290"/>
      <c r="G45" s="291" t="s">
        <v>2410</v>
      </c>
    </row>
    <row r="46" spans="1:7" s="258" customFormat="1" ht="13.5" customHeight="1">
      <c r="A46" s="951" t="s">
        <v>791</v>
      </c>
      <c r="B46" s="292" t="s">
        <v>2411</v>
      </c>
      <c r="C46" s="293">
        <f ca="1">ROUND((C33+C39)*F27,0)</f>
        <v>3387603</v>
      </c>
      <c r="D46" s="307"/>
      <c r="E46" s="280"/>
      <c r="F46" s="290"/>
      <c r="G46" s="291"/>
    </row>
    <row r="47" spans="1:7" s="258" customFormat="1" ht="13.5" customHeight="1">
      <c r="A47" s="951" t="s">
        <v>792</v>
      </c>
      <c r="B47" s="292" t="s">
        <v>2412</v>
      </c>
      <c r="C47" s="282">
        <f ca="1">ROUND(C40*F27,4)</f>
        <v>2E-3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22397007</v>
      </c>
      <c r="D49" s="276"/>
      <c r="E49" s="276"/>
      <c r="F49" s="308"/>
      <c r="G49" s="278" t="s">
        <v>2416</v>
      </c>
    </row>
    <row r="50" spans="1:7" s="302" customFormat="1">
      <c r="A50" s="299" t="s">
        <v>2417</v>
      </c>
      <c r="B50" s="254" t="s">
        <v>2418</v>
      </c>
      <c r="C50" s="276"/>
      <c r="D50" s="276"/>
      <c r="E50" s="276"/>
      <c r="F50" s="308">
        <f>IF('数据-取费表'!B24=0,'数据-取费表'!N16,1)</f>
        <v>0.75</v>
      </c>
      <c r="G50" s="291"/>
    </row>
    <row r="51" spans="1:7" ht="16.5" customHeight="1">
      <c r="A51" s="299" t="s">
        <v>2420</v>
      </c>
      <c r="B51" s="254" t="s">
        <v>2455</v>
      </c>
      <c r="C51" s="276">
        <f ca="1">ROUND(C49*F50,0)</f>
        <v>16797755</v>
      </c>
      <c r="D51" s="276"/>
      <c r="E51" s="276"/>
      <c r="F51" s="308"/>
      <c r="G51" s="278" t="s">
        <v>2422</v>
      </c>
    </row>
    <row r="52" spans="1:7" s="252" customFormat="1" ht="16.5" thickBot="1">
      <c r="A52" s="309" t="s">
        <v>2423</v>
      </c>
      <c r="B52" s="310"/>
      <c r="C52" s="311">
        <f ca="1">C31+C51</f>
        <v>19563003</v>
      </c>
      <c r="D52" s="310"/>
      <c r="E52" s="310"/>
      <c r="F52" s="310"/>
      <c r="G52" s="312"/>
    </row>
    <row r="55" spans="1:7" ht="15">
      <c r="B55" s="314" t="s">
        <v>2424</v>
      </c>
      <c r="C55" s="315"/>
    </row>
    <row r="56" spans="1:7">
      <c r="B56" s="317" t="s">
        <v>1507</v>
      </c>
      <c r="C56" s="319">
        <f ca="1">1-C57</f>
        <v>0.14100000000000001</v>
      </c>
    </row>
    <row r="57" spans="1:7">
      <c r="B57" s="317" t="s">
        <v>1508</v>
      </c>
      <c r="C57" s="318">
        <f ca="1">ROUND(C51/C52,3)</f>
        <v>0.85899999999999999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4.75">
      <c r="A5" s="957" t="s">
        <v>2460</v>
      </c>
      <c r="B5" s="958" t="s">
        <v>2461</v>
      </c>
      <c r="C5" s="2553" t="s">
        <v>2462</v>
      </c>
      <c r="D5" s="2553" t="s">
        <v>2463</v>
      </c>
      <c r="E5" s="2553" t="s">
        <v>2464</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0.03</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5028.579999999999</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5028.579999999999</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5"/>
      <c r="H18" s="1577"/>
      <c r="I18" s="2556"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2492</v>
      </c>
      <c r="C20" s="24">
        <f ca="1">ROUND(D20*E20/10000,0)</f>
        <v>101</v>
      </c>
      <c r="D20" s="1033">
        <f ca="1">IF(C1="",'数据-汇总表'!E6,IF(INDIRECT("'数据-取费表'!c"&amp;$K$1)="住宅",INDIRECT("'数据-取费表'!s"&amp;$K$1),INDIRECT("'数据-取费表'!k"&amp;$K$1)+INDIRECT("'数据-取费表'!s"&amp;$K$1)))</f>
        <v>5028.579999999999</v>
      </c>
      <c r="E20" s="24">
        <f>'数据-取费表'!B28</f>
        <v>200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0.01</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0.01</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7" t="str">
        <f>IF('数据-取费表'!B22&lt;=1,"（1）-（3）项×年利率×建设期÷2","（1）-（3）项×((1+年利率)^(建设期÷2)-1)")</f>
        <v>（1）-（3）项×((1+年利率)^(建设期÷2)-1)</v>
      </c>
      <c r="H27" s="979"/>
      <c r="I27" s="979"/>
      <c r="J27" s="979"/>
      <c r="K27" s="980"/>
    </row>
    <row r="28" spans="1:33" s="333" customFormat="1" ht="13.5" customHeight="1">
      <c r="A28" s="961" t="s">
        <v>2506</v>
      </c>
      <c r="B28" s="2558" t="s">
        <v>2507</v>
      </c>
      <c r="C28" s="331">
        <f ca="1">C30</f>
        <v>0</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59"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 zoomScale="70" zoomScaleNormal="70" zoomScaleSheetLayoutView="90" workbookViewId="0">
      <selection activeCell="K74" sqref="K7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3070</v>
      </c>
      <c r="D1" s="1820" t="s">
        <v>70</v>
      </c>
      <c r="E1" s="1821" t="s">
        <v>1382</v>
      </c>
      <c r="F1" s="1283">
        <f ca="1">J53</f>
        <v>31.66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15540</v>
      </c>
      <c r="C2" s="1845" t="s">
        <v>1510</v>
      </c>
      <c r="D2" s="1845"/>
      <c r="E2" s="1846"/>
      <c r="F2" s="1847"/>
      <c r="G2" s="1848"/>
      <c r="H2" s="1840"/>
      <c r="I2" s="1840"/>
      <c r="J2" s="1840"/>
      <c r="K2" s="1841"/>
      <c r="L2" s="1840"/>
      <c r="M2" s="1840"/>
    </row>
    <row r="3" spans="1:37" ht="18" customHeight="1" thickBot="1">
      <c r="A3" s="1849" t="s">
        <v>1511</v>
      </c>
      <c r="B3" s="1850">
        <f ca="1">IF(ISERROR(B2*10000/F43),0,ROUND(B2*10000/F43,0))</f>
        <v>30903</v>
      </c>
      <c r="C3" s="1845" t="s">
        <v>1512</v>
      </c>
      <c r="D3" s="1845"/>
      <c r="E3" s="1846"/>
      <c r="F3" s="1847"/>
      <c r="G3" s="1848"/>
      <c r="H3" s="744" t="s">
        <v>1582</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808</v>
      </c>
      <c r="D5" s="1822" t="s">
        <v>1397</v>
      </c>
      <c r="E5" s="1293"/>
      <c r="F5" s="1294"/>
      <c r="G5" s="1851"/>
      <c r="H5" s="344">
        <v>1</v>
      </c>
      <c r="I5" s="345" t="s">
        <v>1396</v>
      </c>
      <c r="J5" s="1292">
        <f ca="1">J6+J10+J12</f>
        <v>1024</v>
      </c>
      <c r="K5" s="1822" t="s">
        <v>1397</v>
      </c>
      <c r="L5" s="1293"/>
      <c r="M5" s="1294"/>
    </row>
    <row r="6" spans="1:37" ht="18" customHeight="1">
      <c r="A6" s="1291" t="s">
        <v>1032</v>
      </c>
      <c r="B6" s="3180" t="s">
        <v>1398</v>
      </c>
      <c r="C6" s="1296">
        <f ca="1">ROUND(F6*F8*F7*(1-F9)/10000,0)</f>
        <v>808</v>
      </c>
      <c r="D6" s="164" t="s">
        <v>3028</v>
      </c>
      <c r="E6" s="347" t="s">
        <v>1400</v>
      </c>
      <c r="F6" s="348">
        <f ca="1">INDIRECT("'数据-取费表'!u"&amp;$G$1)</f>
        <v>4.4000000000000004</v>
      </c>
      <c r="G6" s="1851"/>
      <c r="H6" s="1291" t="s">
        <v>1032</v>
      </c>
      <c r="I6" s="3180" t="s">
        <v>1398</v>
      </c>
      <c r="J6" s="346">
        <f ca="1">ROUND(M6*M8*M7*(1-M9)/10000,0)</f>
        <v>1023</v>
      </c>
      <c r="K6" s="164" t="s">
        <v>3027</v>
      </c>
      <c r="L6" s="347" t="s">
        <v>1400</v>
      </c>
      <c r="M6" s="348">
        <f ca="1">INDIRECT("'数据-取费表'!z"&amp;$G$1)</f>
        <v>6.19</v>
      </c>
    </row>
    <row r="7" spans="1:37" ht="18" customHeight="1">
      <c r="A7" s="1295"/>
      <c r="B7" s="3181"/>
      <c r="C7" s="1297"/>
      <c r="D7" s="352"/>
      <c r="E7" s="1298" t="s">
        <v>1401</v>
      </c>
      <c r="F7" s="348">
        <f ca="1">IF(INDIRECT("'数据-取费表'!ah"&amp;$G$1)="",INDIRECT("'数据-取费表'!k"&amp;$G$1),INDIRECT("'数据-取费表'!ah"&amp;$G$1))</f>
        <v>5028.579999999999</v>
      </c>
      <c r="G7" s="1851"/>
      <c r="H7" s="349"/>
      <c r="I7" s="3181"/>
      <c r="J7" s="351"/>
      <c r="K7" s="352"/>
      <c r="L7" s="347" t="s">
        <v>1401</v>
      </c>
      <c r="M7" s="348">
        <f ca="1">F7</f>
        <v>5028.579999999999</v>
      </c>
    </row>
    <row r="8" spans="1:37" ht="18" customHeight="1">
      <c r="A8" s="349"/>
      <c r="B8" s="3181"/>
      <c r="C8" s="351"/>
      <c r="D8" s="352"/>
      <c r="E8" s="347" t="s">
        <v>1402</v>
      </c>
      <c r="F8" s="348">
        <f ca="1">INDIRECT("'数据-取费表'!ai"&amp;$G$1)</f>
        <v>365</v>
      </c>
      <c r="G8" s="1851"/>
      <c r="H8" s="349"/>
      <c r="I8" s="3181"/>
      <c r="J8" s="351"/>
      <c r="K8" s="352"/>
      <c r="L8" s="347" t="s">
        <v>1402</v>
      </c>
      <c r="M8" s="348">
        <f ca="1">INDIRECT("'数据-取费表'!ai"&amp;$G$1)</f>
        <v>365</v>
      </c>
    </row>
    <row r="9" spans="1:37" ht="18" customHeight="1">
      <c r="A9" s="349"/>
      <c r="B9" s="3182"/>
      <c r="C9" s="351"/>
      <c r="D9" s="352"/>
      <c r="E9" s="347" t="s">
        <v>1403</v>
      </c>
      <c r="F9" s="357">
        <f ca="1">INDIRECT("'数据-取费表'!w"&amp;$G$1)</f>
        <v>0</v>
      </c>
      <c r="G9" s="1851"/>
      <c r="H9" s="349"/>
      <c r="I9" s="3182"/>
      <c r="J9" s="351"/>
      <c r="K9" s="352"/>
      <c r="L9" s="358" t="s">
        <v>1403</v>
      </c>
      <c r="M9" s="359">
        <f ca="1">INDIRECT("'数据-取费表'!ab"&amp;$G$1)</f>
        <v>0.1</v>
      </c>
    </row>
    <row r="10" spans="1:37" ht="18" customHeight="1">
      <c r="A10" s="1291" t="s">
        <v>1036</v>
      </c>
      <c r="B10" s="1823" t="s">
        <v>1404</v>
      </c>
      <c r="C10" s="361">
        <f ca="1">ROUND(IF(F10="押一",C6/12*F11,IF(F10="押二",C6/12*2*F11,IF(F10="押三",C6/12*3*F11,C11*F11))),0)</f>
        <v>0</v>
      </c>
      <c r="D10" s="1824" t="s">
        <v>3037</v>
      </c>
      <c r="E10" s="358" t="s">
        <v>1405</v>
      </c>
      <c r="F10" s="1366" t="s">
        <v>3097</v>
      </c>
      <c r="G10" s="1851"/>
      <c r="H10" s="1291" t="s">
        <v>1036</v>
      </c>
      <c r="I10" s="1823" t="s">
        <v>1404</v>
      </c>
      <c r="J10" s="346">
        <f ca="1">ROUND(IF(M10="押一",J6/12*M11,IF(M10="押二",J6/12*2*M11,IF(M10="押三",J6/12*3*M11,J11*M11))),0)</f>
        <v>1</v>
      </c>
      <c r="K10" s="1824" t="s">
        <v>3036</v>
      </c>
      <c r="L10" s="358" t="s">
        <v>1405</v>
      </c>
      <c r="M10" s="1366" t="s">
        <v>3094</v>
      </c>
    </row>
    <row r="11" spans="1:37" ht="18" customHeight="1">
      <c r="A11" s="353"/>
      <c r="B11" s="1825" t="s">
        <v>1383</v>
      </c>
      <c r="C11" s="1178"/>
      <c r="D11" s="1826"/>
      <c r="E11" s="358" t="s">
        <v>1406</v>
      </c>
      <c r="F11" s="359">
        <f ca="1">'数据-取费表'!B39</f>
        <v>1.4999999999999999E-2</v>
      </c>
      <c r="G11" s="1851"/>
      <c r="H11" s="1299"/>
      <c r="I11" s="1825" t="s">
        <v>1383</v>
      </c>
      <c r="J11" s="1178"/>
      <c r="K11" s="748"/>
      <c r="L11" s="358" t="s">
        <v>1406</v>
      </c>
      <c r="M11" s="1056">
        <f ca="1">'数据-取费表'!B39</f>
        <v>1.4999999999999999E-2</v>
      </c>
    </row>
    <row r="12" spans="1:37" ht="18" customHeight="1" thickBot="1">
      <c r="A12" s="1333" t="s">
        <v>1072</v>
      </c>
      <c r="B12" s="1827" t="s">
        <v>1407</v>
      </c>
      <c r="C12" s="1334"/>
      <c r="D12" s="1335"/>
      <c r="E12" s="1340"/>
      <c r="F12" s="1336"/>
      <c r="G12" s="1851"/>
      <c r="H12" s="1333" t="s">
        <v>1072</v>
      </c>
      <c r="I12" s="1827" t="s">
        <v>1407</v>
      </c>
      <c r="J12" s="1334"/>
      <c r="K12" s="1348"/>
      <c r="L12" s="1340"/>
      <c r="M12" s="1349"/>
    </row>
    <row r="13" spans="1:37" ht="18" customHeight="1" thickTop="1">
      <c r="A13" s="1329">
        <v>2</v>
      </c>
      <c r="B13" s="1330" t="s">
        <v>1408</v>
      </c>
      <c r="C13" s="355">
        <f ca="1">ROUND(C29*F13,0)</f>
        <v>448</v>
      </c>
      <c r="D13" s="1331" t="s">
        <v>1409</v>
      </c>
      <c r="E13" s="1331" t="s">
        <v>1410</v>
      </c>
      <c r="F13" s="1332">
        <f ca="1">INDIRECT("'数据-取费表'!y"&amp;$G$1)</f>
        <v>0.2</v>
      </c>
      <c r="G13" s="1851"/>
      <c r="H13" s="1329">
        <v>2</v>
      </c>
      <c r="I13" s="1330" t="s">
        <v>1408</v>
      </c>
      <c r="J13" s="1290">
        <f ca="1">ROUND(J14*J15,0)</f>
        <v>1636</v>
      </c>
      <c r="K13" s="1337" t="s">
        <v>1409</v>
      </c>
      <c r="L13" s="1852"/>
      <c r="M13" s="1853"/>
    </row>
    <row r="14" spans="1:37" ht="18" customHeight="1">
      <c r="A14" s="1201" t="s">
        <v>1031</v>
      </c>
      <c r="B14" s="347" t="s">
        <v>1411</v>
      </c>
      <c r="C14" s="363">
        <f ca="1">INDIRECT("'数据-取费表'!m"&amp;$G$1)+INDIRECT("'数据-取费表'!t"&amp;$G$1)</f>
        <v>1509</v>
      </c>
      <c r="D14" s="1800" t="s">
        <v>1412</v>
      </c>
      <c r="E14" s="1794"/>
      <c r="F14" s="364"/>
      <c r="G14" s="1851"/>
      <c r="H14" s="1201" t="s">
        <v>1032</v>
      </c>
      <c r="I14" s="347" t="s">
        <v>1413</v>
      </c>
      <c r="J14" s="24">
        <f ca="1">C29</f>
        <v>2241</v>
      </c>
      <c r="K14" s="15"/>
      <c r="L14" s="979"/>
      <c r="M14" s="980"/>
    </row>
    <row r="15" spans="1:37" s="1858" customFormat="1" ht="18" customHeight="1" thickBot="1">
      <c r="A15" s="1201" t="s">
        <v>1033</v>
      </c>
      <c r="B15" s="347" t="s">
        <v>1414</v>
      </c>
      <c r="C15" s="24">
        <f ca="1">ROUND(C14*F15,0)</f>
        <v>45</v>
      </c>
      <c r="D15" s="365" t="s">
        <v>1415</v>
      </c>
      <c r="E15" s="365" t="s">
        <v>1416</v>
      </c>
      <c r="F15" s="366">
        <f>'数据-取费表'!B33</f>
        <v>0.03</v>
      </c>
      <c r="G15" s="1854"/>
      <c r="H15" s="1339" t="s">
        <v>1036</v>
      </c>
      <c r="I15" s="1340" t="s">
        <v>1410</v>
      </c>
      <c r="J15" s="1349">
        <f ca="1">INDIRECT("'数据-取费表'!ad"&amp;$G$1)</f>
        <v>0.73</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1417</v>
      </c>
      <c r="C16" s="24">
        <f ca="1">ROUND(INDIRECT("'数据-取费表'!m"&amp;$G$1)*F16,0)</f>
        <v>0</v>
      </c>
      <c r="D16" s="347" t="s">
        <v>1415</v>
      </c>
      <c r="E16" s="347" t="s">
        <v>1416</v>
      </c>
      <c r="F16" s="367">
        <f ca="1">IF(INDIRECT("'数据-取费表'!c"&amp;$G$1)="住宅",'数据-取费表'!B34,0)</f>
        <v>0</v>
      </c>
      <c r="G16" s="1851"/>
      <c r="H16" s="1329" t="s">
        <v>1027</v>
      </c>
      <c r="I16" s="1330" t="s">
        <v>1418</v>
      </c>
      <c r="J16" s="355">
        <f ca="1">ROUND(J17+J22+J23+J24,0)</f>
        <v>263</v>
      </c>
      <c r="K16" s="1337" t="s">
        <v>1419</v>
      </c>
      <c r="L16" s="1338"/>
      <c r="M16" s="1294"/>
    </row>
    <row r="17" spans="1:37" s="1858" customFormat="1" ht="18" customHeight="1">
      <c r="A17" s="1201" t="s">
        <v>1385</v>
      </c>
      <c r="B17" s="347" t="s">
        <v>1420</v>
      </c>
      <c r="C17" s="24">
        <f ca="1">ROUND(F17*(F43+INDIRECT("'数据-取费表'!S"&amp;$G$1))/10000,0)</f>
        <v>101</v>
      </c>
      <c r="D17" s="347" t="s">
        <v>1421</v>
      </c>
      <c r="E17" s="347" t="s">
        <v>1422</v>
      </c>
      <c r="F17" s="26">
        <f>'数据-取费表'!B35</f>
        <v>200</v>
      </c>
      <c r="G17" s="1854"/>
      <c r="H17" s="1201" t="s">
        <v>1032</v>
      </c>
      <c r="I17" s="347" t="s">
        <v>1423</v>
      </c>
      <c r="J17" s="24">
        <f ca="1">ROUND(IF(项目基本情况!B11="自然人",J6*M17/(1+'数据-取费表'!C42),J18+J19+J20),1)</f>
        <v>172.8</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1426</v>
      </c>
      <c r="C18" s="24">
        <f ca="1">ROUND(C14*F18,0)</f>
        <v>23</v>
      </c>
      <c r="D18" s="347" t="s">
        <v>1415</v>
      </c>
      <c r="E18" s="347" t="s">
        <v>1416</v>
      </c>
      <c r="F18" s="367">
        <f>'数据-取费表'!B36</f>
        <v>1.4999999999999999E-2</v>
      </c>
      <c r="G18" s="1854"/>
      <c r="H18" s="1201" t="s">
        <v>1031</v>
      </c>
      <c r="I18" s="347" t="s">
        <v>1427</v>
      </c>
      <c r="J18" s="24">
        <f ca="1">ROUND(J6*M18/(1+'数据-取费表'!C42),2)</f>
        <v>54.56</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1429</v>
      </c>
      <c r="C19" s="24">
        <f ca="1">SUM(C14:C18)</f>
        <v>1678</v>
      </c>
      <c r="D19" s="140" t="s">
        <v>1430</v>
      </c>
      <c r="E19" s="1818"/>
      <c r="F19" s="26"/>
      <c r="G19" s="1851"/>
      <c r="H19" s="1201" t="s">
        <v>1033</v>
      </c>
      <c r="I19" s="347" t="s">
        <v>1431</v>
      </c>
      <c r="J19" s="24">
        <f ca="1">IF(K19="按租金收入计税",ROUND(J6*M19/(1+'数据-取费表'!C42),2),ROUND(C29*M19*0.7,2))</f>
        <v>116.91</v>
      </c>
      <c r="K19" s="1828" t="s">
        <v>3143</v>
      </c>
      <c r="L19" s="347" t="s">
        <v>1416</v>
      </c>
      <c r="M19" s="367">
        <f>IF(K19="按租金收入计税",'数据-取费表'!B51,'数据-取费表'!B50)</f>
        <v>0.12</v>
      </c>
    </row>
    <row r="20" spans="1:37" s="1858" customFormat="1" ht="18" customHeight="1">
      <c r="A20" s="1201" t="s">
        <v>1036</v>
      </c>
      <c r="B20" s="347" t="s">
        <v>1433</v>
      </c>
      <c r="C20" s="24">
        <f ca="1">ROUND(C19*F20,0)</f>
        <v>17</v>
      </c>
      <c r="D20" s="369" t="s">
        <v>1434</v>
      </c>
      <c r="E20" s="347" t="s">
        <v>1416</v>
      </c>
      <c r="F20" s="367">
        <f>'数据-取费表'!B37</f>
        <v>0.01</v>
      </c>
      <c r="G20" s="1854"/>
      <c r="H20" s="1201" t="s">
        <v>1384</v>
      </c>
      <c r="I20" s="164" t="s">
        <v>1435</v>
      </c>
      <c r="J20" s="25">
        <f ca="1">ROUND(M20*M21/10000,2)</f>
        <v>1.35</v>
      </c>
      <c r="K20" s="370" t="s">
        <v>1436</v>
      </c>
      <c r="L20" s="347" t="s">
        <v>1437</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1438</v>
      </c>
      <c r="C21" s="24" t="s">
        <v>18</v>
      </c>
      <c r="D21" s="369" t="s">
        <v>1439</v>
      </c>
      <c r="E21" s="347" t="s">
        <v>1440</v>
      </c>
      <c r="F21" s="367">
        <f>'数据-取费表'!B38</f>
        <v>0.01</v>
      </c>
      <c r="G21" s="1854"/>
      <c r="H21" s="372"/>
      <c r="I21" s="356"/>
      <c r="J21" s="29"/>
      <c r="K21" s="373"/>
      <c r="L21" s="347" t="s">
        <v>1441</v>
      </c>
      <c r="M21" s="348">
        <f ca="1">INDIRECT("'数据-取费表'!r"&amp;$G$1)</f>
        <v>563.73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1442</v>
      </c>
      <c r="C22" s="24"/>
      <c r="D22" s="140" t="str">
        <f>IF(F23&lt;=1,"单利计息。","复利计息。")&amp;"建造成本、管理费用、销售费用产生的利息。"</f>
        <v>复利计息。建造成本、管理费用、销售费用产生的利息。</v>
      </c>
      <c r="E22" s="1818"/>
      <c r="F22" s="26"/>
      <c r="G22" s="1851"/>
      <c r="H22" s="1201" t="s">
        <v>1036</v>
      </c>
      <c r="I22" s="347" t="s">
        <v>1443</v>
      </c>
      <c r="J22" s="24">
        <f ca="1">ROUND(J14*M22,1)</f>
        <v>56</v>
      </c>
      <c r="K22" s="1798" t="s">
        <v>1444</v>
      </c>
      <c r="L22" s="347" t="s">
        <v>1416</v>
      </c>
      <c r="M22" s="374">
        <f ca="1">INDIRECT("'数据-取费表'!Ak"&amp;$G$1)</f>
        <v>2.5000000000000001E-2</v>
      </c>
    </row>
    <row r="23" spans="1:37" s="1858" customFormat="1" ht="18" customHeight="1">
      <c r="A23" s="1201" t="s">
        <v>1031</v>
      </c>
      <c r="B23" s="347" t="s">
        <v>1445</v>
      </c>
      <c r="C23" s="24">
        <f ca="1">IF('数据-取费表'!B22&lt;=1,ROUND(C19*F24*F23/2,0)+ROUND(C20*F24*F23/2,0),ROUND(C19*(POWER((1+F24),F23/2)-1),0)+ROUND(C20*(POWER((1+F24),F23/2)-1),0))</f>
        <v>60</v>
      </c>
      <c r="D23" s="375" t="str">
        <f>IF(F23&lt;=1,"(建造成本+管理费用)×利率×(建设周期÷2)","(建造成本+管理费用)×((1+利率)^(建设周期÷2)-1)")</f>
        <v>(建造成本+管理费用)×((1+利率)^(建设周期÷2)-1)</v>
      </c>
      <c r="E23" s="347" t="s">
        <v>1446</v>
      </c>
      <c r="F23" s="371">
        <f>'数据-取费表'!B20</f>
        <v>1.5</v>
      </c>
      <c r="G23" s="1854"/>
      <c r="H23" s="1201" t="s">
        <v>1072</v>
      </c>
      <c r="I23" s="347" t="s">
        <v>1447</v>
      </c>
      <c r="J23" s="24">
        <f ca="1">ROUND(J13*M23,1)</f>
        <v>3.3</v>
      </c>
      <c r="K23" s="1798" t="s">
        <v>1448</v>
      </c>
      <c r="L23" s="347" t="s">
        <v>1449</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销售费用×((1+利率)^(建设周期÷2)-1)</v>
      </c>
      <c r="E24" s="347" t="s">
        <v>1452</v>
      </c>
      <c r="F24" s="377">
        <f ca="1">'数据-取费表'!B40</f>
        <v>4.7500000000000001E-2</v>
      </c>
      <c r="G24" s="1854"/>
      <c r="H24" s="1339" t="s">
        <v>1388</v>
      </c>
      <c r="I24" s="1340" t="s">
        <v>1433</v>
      </c>
      <c r="J24" s="1341">
        <f ca="1">ROUND(J5*M24,1)</f>
        <v>30.7</v>
      </c>
      <c r="K24" s="1342" t="s">
        <v>1453</v>
      </c>
      <c r="L24" s="1340" t="s">
        <v>1449</v>
      </c>
      <c r="M24" s="1336">
        <f ca="1">INDIRECT("'数据-取费表'!Am"&amp;$G$1)</f>
        <v>0.03</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1028</v>
      </c>
      <c r="I25" s="1344" t="s">
        <v>1457</v>
      </c>
      <c r="J25" s="355">
        <f ca="1">J5-J16</f>
        <v>761</v>
      </c>
      <c r="K25" s="1345" t="s">
        <v>1458</v>
      </c>
      <c r="L25" s="1346"/>
      <c r="M25" s="1347"/>
    </row>
    <row r="26" spans="1:37">
      <c r="A26" s="1201" t="s">
        <v>1031</v>
      </c>
      <c r="B26" s="347" t="s">
        <v>1459</v>
      </c>
      <c r="C26" s="24">
        <f ca="1">ROUND((C19+C20)*F26,0)</f>
        <v>339</v>
      </c>
      <c r="D26" s="369" t="s">
        <v>1460</v>
      </c>
      <c r="E26" s="358" t="s">
        <v>1461</v>
      </c>
      <c r="F26" s="357">
        <f ca="1">INDIRECT("'数据-取费表'!q"&amp;$G$1)</f>
        <v>0.2</v>
      </c>
      <c r="G26" s="1851"/>
      <c r="H26" s="344" t="s">
        <v>1029</v>
      </c>
      <c r="I26" s="345" t="s">
        <v>1462</v>
      </c>
      <c r="J26" s="346">
        <f ca="1">IF(J5&lt;&gt;0,ROUND(J25*(1-((1+M28)/(1+M26))^M27)/(M26-M28),0),0)</f>
        <v>15824</v>
      </c>
      <c r="K26" s="370" t="s">
        <v>1463</v>
      </c>
      <c r="L26" s="347" t="s">
        <v>1464</v>
      </c>
      <c r="M26" s="357">
        <f ca="1">INDIRECT("'数据-取费表'!I"&amp;$G$1)</f>
        <v>5.5E-2</v>
      </c>
    </row>
    <row r="27" spans="1:37" ht="18" customHeight="1">
      <c r="A27" s="1201" t="s">
        <v>1033</v>
      </c>
      <c r="B27" s="347" t="s">
        <v>1465</v>
      </c>
      <c r="C27" s="24">
        <f ca="1">ROUND(F21*F26,4)</f>
        <v>2E-3</v>
      </c>
      <c r="D27" s="369" t="s">
        <v>1466</v>
      </c>
      <c r="E27" s="365"/>
      <c r="F27" s="366"/>
      <c r="G27" s="1851"/>
      <c r="H27" s="349"/>
      <c r="I27" s="350"/>
      <c r="J27" s="351"/>
      <c r="K27" s="378" t="s">
        <v>1467</v>
      </c>
      <c r="L27" s="347" t="s">
        <v>1468</v>
      </c>
      <c r="M27" s="379">
        <f ca="1">INDIRECT("'数据-取费表'!ag"&amp;$G$1)</f>
        <v>30.59</v>
      </c>
    </row>
    <row r="28" spans="1:37" s="1858" customFormat="1" ht="18" customHeight="1">
      <c r="A28" s="1201" t="s">
        <v>1034</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0.03</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1472</v>
      </c>
      <c r="C29" s="1341">
        <f ca="1">ROUND((C19+C20+C23+C26)/(1-F21-C24-C27-C28),0)</f>
        <v>2241</v>
      </c>
      <c r="D29" s="1342"/>
      <c r="E29" s="1340"/>
      <c r="F29" s="1343"/>
      <c r="G29" s="1854"/>
      <c r="H29" s="380" t="s">
        <v>1030</v>
      </c>
      <c r="I29" s="381" t="s">
        <v>1473</v>
      </c>
      <c r="J29" s="382">
        <f ca="1">ROUND(J26/(1+F40)^F41,0)</f>
        <v>14943</v>
      </c>
      <c r="K29" s="383" t="s">
        <v>1474</v>
      </c>
      <c r="L29" s="384"/>
      <c r="M29" s="385">
        <f ca="1">INDIRECT("'数据-取费表'!k"&amp;$G$1)</f>
        <v>5028.579999999999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1418</v>
      </c>
      <c r="C30" s="355">
        <f ca="1">ROUND(C31+C36+C37+C38,0)</f>
        <v>218</v>
      </c>
      <c r="D30" s="1337" t="s">
        <v>1419</v>
      </c>
      <c r="E30" s="1338"/>
      <c r="F30" s="1294"/>
      <c r="G30" s="1851"/>
      <c r="H30" s="745"/>
      <c r="I30" s="746"/>
      <c r="J30" s="747"/>
      <c r="K30" s="748"/>
      <c r="L30" s="749"/>
      <c r="M30" s="750"/>
    </row>
    <row r="31" spans="1:37" ht="18" customHeight="1">
      <c r="A31" s="1201" t="s">
        <v>1032</v>
      </c>
      <c r="B31" s="347" t="s">
        <v>1423</v>
      </c>
      <c r="C31" s="24">
        <f ca="1">ROUND(IF(项目基本情况!B11="自然人",C6*F31/(1+'数据-取费表'!C42),C32+C33+C34),1)</f>
        <v>136.80000000000001</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1427</v>
      </c>
      <c r="C32" s="24">
        <f ca="1">IF(项目基本情况!B11="自然人","——",ROUND(C6*F32/(1+'数据-取费表'!C42),2))</f>
        <v>43.09</v>
      </c>
      <c r="D32" s="1798" t="s">
        <v>1428</v>
      </c>
      <c r="E32" s="347" t="s">
        <v>1416</v>
      </c>
      <c r="F32" s="377">
        <f>'数据-取费表'!B41</f>
        <v>5.6000000000000001E-2</v>
      </c>
      <c r="G32" s="1851"/>
      <c r="H32" s="745"/>
      <c r="I32" s="746"/>
      <c r="J32" s="747"/>
      <c r="K32" s="748"/>
      <c r="L32" s="749"/>
      <c r="M32" s="750"/>
    </row>
    <row r="33" spans="1:18" ht="18" customHeight="1">
      <c r="A33" s="1201" t="s">
        <v>1033</v>
      </c>
      <c r="B33" s="347" t="s">
        <v>1431</v>
      </c>
      <c r="C33" s="24">
        <f ca="1">IF(项目基本情况!B11="自然人","——",IF(D33="按租金收入计税",ROUND(C6*F33/(1+'数据-取费表'!C42),2),IF(D33="按房产原值计税",ROUND(C29*F33*0.7,2),INDIRECT("'数据-取费表'!Aj"&amp;$G$1))))</f>
        <v>92.34</v>
      </c>
      <c r="D33" s="1828" t="s">
        <v>3143</v>
      </c>
      <c r="E33" s="347" t="s">
        <v>1416</v>
      </c>
      <c r="F33" s="367">
        <f>IF(D33="按票据","——",IF(D33="按租金收入计税",'数据-取费表'!B51,'数据-取费表'!B50))</f>
        <v>0.12</v>
      </c>
      <c r="G33" s="1851"/>
      <c r="H33" s="1859"/>
      <c r="I33" s="1860"/>
      <c r="J33" s="1861"/>
      <c r="K33" s="1862"/>
      <c r="L33" s="1859"/>
      <c r="M33" s="1859"/>
    </row>
    <row r="34" spans="1:18" ht="18" customHeight="1">
      <c r="A34" s="1291" t="s">
        <v>1384</v>
      </c>
      <c r="B34" s="164" t="s">
        <v>1435</v>
      </c>
      <c r="C34" s="25">
        <f ca="1">IF(项目基本情况!B11="自然人","——",ROUND(F34*F35/10000,2))</f>
        <v>1.35</v>
      </c>
      <c r="D34" s="370" t="s">
        <v>1436</v>
      </c>
      <c r="E34" s="347" t="s">
        <v>1437</v>
      </c>
      <c r="F34" s="371">
        <f>'数据-取费表'!B52</f>
        <v>24</v>
      </c>
      <c r="G34" s="1851"/>
      <c r="H34" s="745"/>
      <c r="I34" s="1860"/>
      <c r="J34" s="1861"/>
      <c r="K34" s="1863"/>
      <c r="L34" s="1864"/>
      <c r="M34" s="1864"/>
    </row>
    <row r="35" spans="1:18" ht="18" customHeight="1">
      <c r="A35" s="1353"/>
      <c r="B35" s="1351"/>
      <c r="C35" s="29"/>
      <c r="D35" s="373"/>
      <c r="E35" s="347" t="s">
        <v>1441</v>
      </c>
      <c r="F35" s="348">
        <f ca="1">INDIRECT("'数据-取费表'!r"&amp;$G$1)</f>
        <v>563.73</v>
      </c>
      <c r="G35" s="1851"/>
      <c r="H35" s="745"/>
      <c r="I35" s="1860"/>
      <c r="J35" s="1861"/>
      <c r="K35" s="1862"/>
      <c r="L35" s="1859"/>
      <c r="M35" s="1859"/>
    </row>
    <row r="36" spans="1:18" ht="18" customHeight="1">
      <c r="A36" s="1352" t="s">
        <v>1036</v>
      </c>
      <c r="B36" s="347" t="s">
        <v>1443</v>
      </c>
      <c r="C36" s="24">
        <f ca="1">ROUND(C29*F36,1)</f>
        <v>56</v>
      </c>
      <c r="D36" s="1798" t="s">
        <v>1476</v>
      </c>
      <c r="E36" s="347" t="s">
        <v>1416</v>
      </c>
      <c r="F36" s="374">
        <f ca="1">INDIRECT("'数据-取费表'!Ak"&amp;$G$1)</f>
        <v>2.5000000000000001E-2</v>
      </c>
      <c r="G36" s="1851"/>
      <c r="H36" s="1859"/>
      <c r="I36" s="1860"/>
      <c r="J36" s="1861"/>
      <c r="K36" s="751"/>
      <c r="L36" s="1859"/>
      <c r="M36" s="1859"/>
    </row>
    <row r="37" spans="1:18" ht="18" customHeight="1">
      <c r="A37" s="1201" t="s">
        <v>1072</v>
      </c>
      <c r="B37" s="347" t="s">
        <v>1447</v>
      </c>
      <c r="C37" s="24">
        <f ca="1">ROUND(C13*F37,1)</f>
        <v>0.9</v>
      </c>
      <c r="D37" s="1798" t="s">
        <v>1448</v>
      </c>
      <c r="E37" s="347" t="s">
        <v>1449</v>
      </c>
      <c r="F37" s="376">
        <f ca="1">INDIRECT("'数据-取费表'!Al"&amp;$G$1)</f>
        <v>2E-3</v>
      </c>
      <c r="G37" s="1851"/>
      <c r="H37" s="1859"/>
      <c r="I37" s="1860"/>
      <c r="J37" s="1861"/>
      <c r="K37" s="751"/>
      <c r="L37" s="1859"/>
      <c r="M37" s="1859"/>
    </row>
    <row r="38" spans="1:18" ht="18" customHeight="1" thickBot="1">
      <c r="A38" s="1339" t="s">
        <v>1388</v>
      </c>
      <c r="B38" s="1340" t="s">
        <v>1433</v>
      </c>
      <c r="C38" s="1341">
        <f ca="1">ROUND(C5*F38,1)</f>
        <v>24.2</v>
      </c>
      <c r="D38" s="1342" t="s">
        <v>1453</v>
      </c>
      <c r="E38" s="1340" t="s">
        <v>1449</v>
      </c>
      <c r="F38" s="1336">
        <f ca="1">INDIRECT("'数据-取费表'!Am"&amp;$G$1)</f>
        <v>0.03</v>
      </c>
      <c r="G38" s="1851"/>
      <c r="H38" s="1859"/>
      <c r="I38" s="1860"/>
      <c r="J38" s="1861"/>
      <c r="K38" s="1865"/>
      <c r="L38" s="1859"/>
      <c r="M38" s="1859"/>
    </row>
    <row r="39" spans="1:18" ht="24.6" customHeight="1" thickTop="1">
      <c r="A39" s="1329" t="s">
        <v>1028</v>
      </c>
      <c r="B39" s="1344" t="s">
        <v>1477</v>
      </c>
      <c r="C39" s="355">
        <f ca="1">C5-C30</f>
        <v>590</v>
      </c>
      <c r="D39" s="1345" t="s">
        <v>1478</v>
      </c>
      <c r="E39" s="1346"/>
      <c r="F39" s="1347"/>
      <c r="G39" s="1851"/>
      <c r="H39" s="1859"/>
      <c r="I39" s="1860"/>
      <c r="J39" s="1861"/>
      <c r="K39" s="1865"/>
      <c r="L39" s="1859"/>
      <c r="M39" s="1859"/>
    </row>
    <row r="40" spans="1:18" ht="18" customHeight="1">
      <c r="A40" s="344" t="s">
        <v>1029</v>
      </c>
      <c r="B40" s="345" t="s">
        <v>1479</v>
      </c>
      <c r="C40" s="346">
        <f ca="1">ROUND(C39*(1-((1+F42)/(1+F40))^F41)/(F40-F42),0)</f>
        <v>597</v>
      </c>
      <c r="D40" s="370" t="s">
        <v>1463</v>
      </c>
      <c r="E40" s="347" t="s">
        <v>1464</v>
      </c>
      <c r="F40" s="357">
        <f ca="1">INDIRECT("'数据-取费表'!I"&amp;$G$1)</f>
        <v>5.5E-2</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1.07</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1030</v>
      </c>
      <c r="B43" s="381" t="s">
        <v>1481</v>
      </c>
      <c r="C43" s="382">
        <f ca="1">ROUND(C40*10000/F43,0)</f>
        <v>1187</v>
      </c>
      <c r="D43" s="383" t="s">
        <v>1482</v>
      </c>
      <c r="E43" s="384" t="s">
        <v>1483</v>
      </c>
      <c r="F43" s="385">
        <f ca="1">INDIRECT("'数据-取费表'!k"&amp;$G$1)</f>
        <v>5028.579999999999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145</v>
      </c>
      <c r="D46" s="1872" t="str">
        <f>C2</f>
        <v>万元</v>
      </c>
      <c r="E46" s="1866"/>
      <c r="F46" s="1866"/>
      <c r="I46" s="1873" t="s">
        <v>1515</v>
      </c>
      <c r="J46" s="1874"/>
      <c r="K46" s="1875"/>
      <c r="L46" s="1876" t="str">
        <f ca="1">IF(M47="住宅",0,IF(L48&gt;J51,L60,J60))</f>
        <v>0</v>
      </c>
      <c r="O46" s="1877" t="s">
        <v>1516</v>
      </c>
      <c r="P46" s="1878" t="s">
        <v>1517</v>
      </c>
      <c r="Q46" s="1879" t="s">
        <v>1518</v>
      </c>
      <c r="R46" s="1879" t="s">
        <v>1519</v>
      </c>
    </row>
    <row r="47" spans="1:18" s="1842" customFormat="1" ht="13.5" thickBot="1">
      <c r="A47" s="1165" t="s">
        <v>1391</v>
      </c>
      <c r="B47" s="1197" t="s">
        <v>1392</v>
      </c>
      <c r="C47" s="1367" t="s">
        <v>1393</v>
      </c>
      <c r="D47" s="1197" t="s">
        <v>1394</v>
      </c>
      <c r="E47" s="1279" t="s">
        <v>1395</v>
      </c>
      <c r="F47" s="1280"/>
      <c r="G47" s="792"/>
      <c r="I47" s="1880" t="s">
        <v>1520</v>
      </c>
      <c r="J47" s="1881" t="s">
        <v>3096</v>
      </c>
      <c r="K47" s="1882" t="s">
        <v>1521</v>
      </c>
      <c r="L47" s="1883">
        <f ca="1">INDIRECT("'数据-取费表'!d"&amp;$G$1)</f>
        <v>50</v>
      </c>
      <c r="M47" s="1838" t="str">
        <f>IF(ISNUMBER(FIND("住宅",C1)),"住宅","非住宅")</f>
        <v>非住宅</v>
      </c>
      <c r="O47" s="1884" t="s">
        <v>1037</v>
      </c>
      <c r="P47" s="1885" t="s">
        <v>1522</v>
      </c>
      <c r="Q47" s="1886">
        <f ca="1">C40+J29</f>
        <v>15540</v>
      </c>
      <c r="R47" s="1886" t="s">
        <v>1523</v>
      </c>
    </row>
    <row r="48" spans="1:18" s="1842" customFormat="1" ht="28.5" thickBot="1">
      <c r="A48" s="1360" t="s">
        <v>1132</v>
      </c>
      <c r="B48" s="345" t="s">
        <v>1396</v>
      </c>
      <c r="C48" s="1817">
        <f ca="1">C49+C53+C55</f>
        <v>992</v>
      </c>
      <c r="D48" s="1362"/>
      <c r="E48" s="1363"/>
      <c r="F48" s="1181"/>
      <c r="G48" s="792"/>
      <c r="H48" s="793"/>
      <c r="I48" s="1887" t="s">
        <v>1524</v>
      </c>
      <c r="J48" s="1888" t="s">
        <v>3095</v>
      </c>
      <c r="K48" s="1889" t="s">
        <v>1525</v>
      </c>
      <c r="L48" s="1890">
        <f ca="1">INDIRECT("'数据-取费表'!f"&amp;$G$1)</f>
        <v>31.66</v>
      </c>
      <c r="O48" s="1884" t="s">
        <v>1038</v>
      </c>
      <c r="P48" s="1885" t="s">
        <v>1526</v>
      </c>
      <c r="Q48" s="1886" t="str">
        <f ca="1">J60</f>
        <v>0</v>
      </c>
      <c r="R48" s="1886" t="s">
        <v>1527</v>
      </c>
    </row>
    <row r="49" spans="1:18" s="1842" customFormat="1" ht="13.5" thickBot="1">
      <c r="A49" s="1194" t="s">
        <v>1133</v>
      </c>
      <c r="B49" s="1829" t="s">
        <v>1484</v>
      </c>
      <c r="C49" s="1364">
        <f ca="1">ROUND(F49*F51*F50*(1-F52)/10000,0)</f>
        <v>991</v>
      </c>
      <c r="D49" s="1276" t="s">
        <v>3029</v>
      </c>
      <c r="E49" s="1830" t="s">
        <v>1485</v>
      </c>
      <c r="F49" s="1281">
        <f>'比较法-办公'!C49</f>
        <v>6</v>
      </c>
      <c r="G49" s="1891"/>
      <c r="H49" s="793"/>
      <c r="I49" s="1887" t="s">
        <v>1528</v>
      </c>
      <c r="J49" s="1892">
        <v>2004</v>
      </c>
      <c r="K49" s="1889" t="s">
        <v>1529</v>
      </c>
      <c r="L49" s="1893"/>
      <c r="O49" s="1894" t="s">
        <v>1039</v>
      </c>
      <c r="P49" s="1885" t="s">
        <v>1530</v>
      </c>
      <c r="Q49" s="1886">
        <f ca="1">C29</f>
        <v>2241</v>
      </c>
      <c r="R49" s="1886" t="s">
        <v>1523</v>
      </c>
    </row>
    <row r="50" spans="1:18" s="1842" customFormat="1" ht="13.5" thickBot="1">
      <c r="A50" s="1195"/>
      <c r="B50" s="1198"/>
      <c r="C50" s="1368"/>
      <c r="D50" s="1172"/>
      <c r="E50" s="1277" t="s">
        <v>1401</v>
      </c>
      <c r="F50" s="1278">
        <f ca="1">F7</f>
        <v>5028.579999999999</v>
      </c>
      <c r="H50" s="793"/>
      <c r="I50" s="1887" t="s">
        <v>1531</v>
      </c>
      <c r="J50" s="1895">
        <f>SUMPRODUCT((I63:I65=J47)*(J62:L62=J48)*(J63:L65))</f>
        <v>60</v>
      </c>
      <c r="K50" s="1889" t="s">
        <v>1532</v>
      </c>
      <c r="L50" s="1893"/>
      <c r="M50" s="1896"/>
      <c r="O50" s="1894" t="s">
        <v>1040</v>
      </c>
      <c r="P50" s="1885" t="s">
        <v>1533</v>
      </c>
      <c r="Q50" s="1897" t="e">
        <f ca="1">J58</f>
        <v>#VALUE!</v>
      </c>
      <c r="R50" s="1886"/>
    </row>
    <row r="51" spans="1:18" s="1842" customFormat="1" ht="13.5" thickBot="1">
      <c r="A51" s="1196"/>
      <c r="B51" s="1198"/>
      <c r="C51" s="1199"/>
      <c r="D51" s="1172"/>
      <c r="E51" s="1200" t="s">
        <v>1402</v>
      </c>
      <c r="F51" s="348">
        <f ca="1">F8</f>
        <v>365</v>
      </c>
      <c r="I51" s="1898" t="s">
        <v>1534</v>
      </c>
      <c r="J51" s="1899">
        <f>IF(J49="",J50,J49+J50-YEAR('数据-取费表'!B2))</f>
        <v>45</v>
      </c>
      <c r="K51" s="1900" t="s">
        <v>1535</v>
      </c>
      <c r="L51" s="1901">
        <f ca="1">ROUND(-PV(INDIRECT("'数据-取费表'!h"&amp;$G$1),L48,(C39-C13*C76),0),0)</f>
        <v>8482</v>
      </c>
      <c r="M51" s="1902"/>
      <c r="O51" s="1894" t="s">
        <v>1041</v>
      </c>
      <c r="P51" s="1885" t="s">
        <v>1536</v>
      </c>
      <c r="Q51" s="1897">
        <f>J52</f>
        <v>0.09</v>
      </c>
      <c r="R51" s="1886"/>
    </row>
    <row r="52" spans="1:18" s="1842" customFormat="1" ht="13.5" thickBot="1">
      <c r="A52" s="1196"/>
      <c r="B52" s="1198"/>
      <c r="C52" s="1199"/>
      <c r="D52" s="1172"/>
      <c r="E52" s="1200" t="s">
        <v>1403</v>
      </c>
      <c r="F52" s="1275">
        <v>0.1</v>
      </c>
      <c r="I52" s="1903" t="s">
        <v>1537</v>
      </c>
      <c r="J52" s="1904">
        <v>0.09</v>
      </c>
      <c r="K52" s="1903" t="s">
        <v>1538</v>
      </c>
      <c r="L52" s="1904"/>
      <c r="O52" s="1894" t="s">
        <v>1042</v>
      </c>
      <c r="P52" s="1885" t="s">
        <v>1539</v>
      </c>
      <c r="Q52" s="1886">
        <f ca="1">J53</f>
        <v>31.66</v>
      </c>
      <c r="R52" s="1886" t="s">
        <v>1540</v>
      </c>
    </row>
    <row r="53" spans="1:18" s="1842" customFormat="1" ht="24.75" thickBot="1">
      <c r="A53" s="1405" t="s">
        <v>1134</v>
      </c>
      <c r="B53" s="1831" t="s">
        <v>1404</v>
      </c>
      <c r="C53" s="361">
        <f ca="1">ROUND(IF(F53="押一",C49/12*F11,IF(F53="押二",C49/12*2*F11,IF(F53="押三",C49/12*3*F11,C54*F11))),0)</f>
        <v>1</v>
      </c>
      <c r="D53" s="1824" t="s">
        <v>3036</v>
      </c>
      <c r="E53" s="358" t="s">
        <v>1405</v>
      </c>
      <c r="F53" s="1366" t="s">
        <v>3094</v>
      </c>
      <c r="I53" s="1905" t="s">
        <v>1541</v>
      </c>
      <c r="J53" s="2948">
        <f ca="1">IF(M47="住宅",IF(D1="——",MAX(J51,L48),MAX(J51,L48-'数据-取费表'!B24)),IF(D1="——",MIN(J51,L48),MIN(J51,L48-'数据-取费表'!B24)))</f>
        <v>31.66</v>
      </c>
      <c r="K53" s="3178" t="s">
        <v>1542</v>
      </c>
      <c r="L53" s="3179"/>
      <c r="O53" s="1884" t="s">
        <v>1043</v>
      </c>
      <c r="P53" s="1885" t="s">
        <v>1543</v>
      </c>
      <c r="Q53" s="1886">
        <f ca="1">Q47+Q48</f>
        <v>15540</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1072</v>
      </c>
      <c r="B55" s="1827" t="s">
        <v>1407</v>
      </c>
      <c r="C55" s="1334"/>
      <c r="D55" s="1824"/>
      <c r="E55" s="1832"/>
      <c r="F55" s="1906"/>
      <c r="I55" s="1909" t="s">
        <v>1545</v>
      </c>
      <c r="J55" s="1910" t="e">
        <f ca="1">ROUND(IF(J47="钢混",J57/J50,1-(1-2%)*(J50-J57)/J50),3)</f>
        <v>#VALUE!</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448</v>
      </c>
      <c r="D56" s="1913"/>
      <c r="E56" s="1914"/>
      <c r="F56" s="1906"/>
      <c r="I56" s="1915" t="s">
        <v>1548</v>
      </c>
      <c r="J56" s="1916" t="s">
        <v>3068</v>
      </c>
      <c r="K56" s="1887" t="s">
        <v>1549</v>
      </c>
      <c r="L56" s="1890" t="str">
        <f ca="1">IF(L48&lt;J51,"——",L48-J53)</f>
        <v>——</v>
      </c>
      <c r="O56" s="1884" t="s">
        <v>1037</v>
      </c>
      <c r="P56" s="1885" t="s">
        <v>1522</v>
      </c>
      <c r="Q56" s="1886">
        <f ca="1">C40+J29</f>
        <v>15540</v>
      </c>
      <c r="R56" s="1886" t="s">
        <v>1523</v>
      </c>
    </row>
    <row r="57" spans="1:18" s="1842" customFormat="1" ht="24.75" thickBot="1">
      <c r="A57" s="1917"/>
      <c r="B57" s="1169" t="s">
        <v>1472</v>
      </c>
      <c r="C57" s="282">
        <f ca="1">C29</f>
        <v>2241</v>
      </c>
      <c r="D57" s="1918"/>
      <c r="E57" s="1919"/>
      <c r="F57" s="1920"/>
      <c r="I57" s="1921" t="s">
        <v>1550</v>
      </c>
      <c r="J57" s="1922" t="str">
        <f ca="1">IF(OR(M47="住宅",J51&lt;L48,J56="是"),"——",J51-L48)</f>
        <v>——</v>
      </c>
      <c r="K57" s="1887" t="s">
        <v>1551</v>
      </c>
      <c r="L57" s="1890" t="str">
        <f ca="1">IF(L48&lt;J51,"——",IF(L55="比较法",L49,IF(L55="基准地价",L50,L51)))</f>
        <v>——</v>
      </c>
      <c r="O57" s="1884" t="s">
        <v>1038</v>
      </c>
      <c r="P57" s="1885" t="s">
        <v>1552</v>
      </c>
      <c r="Q57" s="1886">
        <f ca="1">L60</f>
        <v>0</v>
      </c>
      <c r="R57" s="1886" t="s">
        <v>1553</v>
      </c>
    </row>
    <row r="58" spans="1:18" s="1842" customFormat="1" ht="24.75" thickBot="1">
      <c r="A58" s="360" t="s">
        <v>1027</v>
      </c>
      <c r="B58" s="1177" t="s">
        <v>1418</v>
      </c>
      <c r="C58" s="361">
        <f ca="1">ROUND(C59+C64+C65+C66,0)</f>
        <v>260</v>
      </c>
      <c r="D58" s="1179" t="s">
        <v>1419</v>
      </c>
      <c r="E58" s="1180"/>
      <c r="F58" s="1181"/>
      <c r="I58" s="1921" t="s">
        <v>1554</v>
      </c>
      <c r="J58" s="1923" t="e">
        <f ca="1">IF(J55&lt;0.4,0.4,J55)</f>
        <v>#VALUE!</v>
      </c>
      <c r="K58" s="1900" t="s">
        <v>1555</v>
      </c>
      <c r="L58" s="1890" t="e">
        <f ca="1">ROUND(POWER(1+L52,L47-L48)*(POWER(1+L52,L48)-1)/(POWER(1+L52,L47)-1),4)</f>
        <v>#DIV/0!</v>
      </c>
      <c r="O58" s="1894" t="s">
        <v>1039</v>
      </c>
      <c r="P58" s="1885" t="s">
        <v>1556</v>
      </c>
      <c r="Q58" s="1886">
        <f>IF(L55="比较法",L49,IF(L55="基准地价",L50,0))</f>
        <v>0</v>
      </c>
      <c r="R58" s="1886" t="s">
        <v>1523</v>
      </c>
    </row>
    <row r="59" spans="1:18" s="1842" customFormat="1" ht="24.75" thickBot="1">
      <c r="A59" s="1201" t="s">
        <v>1032</v>
      </c>
      <c r="B59" s="1169" t="s">
        <v>1423</v>
      </c>
      <c r="C59" s="24">
        <f ca="1">ROUND(IF(项目基本情况!B11="自然人",C48*F59,C60+C61+C62),1)</f>
        <v>173.3</v>
      </c>
      <c r="D59" s="1182" t="s">
        <v>1424</v>
      </c>
      <c r="E59" s="1183" t="s">
        <v>1425</v>
      </c>
      <c r="F59" s="368" t="str">
        <f ca="1">IF(项目基本情况!B11="企业","",IF(INDIRECT("'数据-取费表'!c"&amp;$G$1)="住宅",5%,IF(F49*F50*F51/12/(1+'数据-取费表'!C42)&gt;20000,12%,7%)))</f>
        <v/>
      </c>
      <c r="I59" s="1921" t="s">
        <v>1557</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1558</v>
      </c>
      <c r="Q59" s="1897">
        <f>L52</f>
        <v>0</v>
      </c>
      <c r="R59" s="1886"/>
    </row>
    <row r="60" spans="1:18" s="1842" customFormat="1" ht="16.5" thickBot="1">
      <c r="A60" s="1201" t="s">
        <v>1031</v>
      </c>
      <c r="B60" s="1169" t="s">
        <v>1427</v>
      </c>
      <c r="C60" s="24">
        <f ca="1">IF(项目基本情况!B11="自然人","——",ROUND(C48*F60/(1+'数据-取费表'!C42),2))</f>
        <v>52.91</v>
      </c>
      <c r="D60" s="1183" t="s">
        <v>1428</v>
      </c>
      <c r="E60" s="1169" t="s">
        <v>1416</v>
      </c>
      <c r="F60" s="377">
        <f t="shared" ref="F60:F66" si="0">F32</f>
        <v>5.6000000000000001E-2</v>
      </c>
      <c r="I60" s="1924" t="s">
        <v>1559</v>
      </c>
      <c r="J60" s="1925" t="str">
        <f ca="1">IF(OR(M47="住宅",J51&lt;L48,J56="是"),"0",ROUND(J59/(1+J52)^J53,0))</f>
        <v>0</v>
      </c>
      <c r="K60" s="1926" t="s">
        <v>1560</v>
      </c>
      <c r="L60" s="1925">
        <f ca="1">IF(OR(M47="住宅",L48&lt;J51),0,ROUND(L57*(L58/L59-1),0))</f>
        <v>0</v>
      </c>
      <c r="O60" s="1894" t="s">
        <v>1041</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119.04</v>
      </c>
      <c r="D61" s="1828" t="s">
        <v>3143</v>
      </c>
      <c r="E61" s="1169" t="s">
        <v>1488</v>
      </c>
      <c r="F61" s="367">
        <f t="shared" si="0"/>
        <v>0.12</v>
      </c>
      <c r="I61" s="1927"/>
      <c r="J61" s="1927"/>
      <c r="K61" s="1927"/>
      <c r="L61" s="1927"/>
      <c r="O61" s="1894" t="s">
        <v>1042</v>
      </c>
      <c r="P61" s="1885" t="str">
        <f>K59</f>
        <v>建筑物剩余耐用年限下的土地年期修正系数Kn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1.35</v>
      </c>
      <c r="D62" s="1184" t="s">
        <v>1491</v>
      </c>
      <c r="E62" s="1169" t="s">
        <v>1492</v>
      </c>
      <c r="F62" s="371">
        <f t="shared" si="0"/>
        <v>24</v>
      </c>
      <c r="I62" s="1928" t="s">
        <v>1564</v>
      </c>
      <c r="J62" s="1929" t="s">
        <v>1565</v>
      </c>
      <c r="K62" s="1929" t="s">
        <v>1566</v>
      </c>
      <c r="L62" s="1929" t="s">
        <v>1567</v>
      </c>
      <c r="M62" s="1930" t="s">
        <v>1568</v>
      </c>
      <c r="O62" s="1884" t="s">
        <v>1043</v>
      </c>
      <c r="P62" s="1885" t="s">
        <v>1569</v>
      </c>
      <c r="Q62" s="1886">
        <f ca="1">Q56+Q57</f>
        <v>15540</v>
      </c>
      <c r="R62" s="1886" t="s">
        <v>1044</v>
      </c>
    </row>
    <row r="63" spans="1:18" s="1842" customFormat="1" ht="13.5" thickBot="1">
      <c r="A63" s="372"/>
      <c r="B63" s="1175"/>
      <c r="C63" s="29"/>
      <c r="D63" s="1185"/>
      <c r="E63" s="1169" t="s">
        <v>1493</v>
      </c>
      <c r="F63" s="348">
        <f t="shared" ca="1" si="0"/>
        <v>563.73</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56</v>
      </c>
      <c r="D64" s="1183" t="s">
        <v>1496</v>
      </c>
      <c r="E64" s="1169" t="s">
        <v>1488</v>
      </c>
      <c r="F64" s="374">
        <f t="shared" ca="1" si="0"/>
        <v>2.5000000000000001E-2</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0.9</v>
      </c>
      <c r="D65" s="1183" t="s">
        <v>1448</v>
      </c>
      <c r="E65" s="1169" t="s">
        <v>1449</v>
      </c>
      <c r="F65" s="376">
        <f t="shared" ca="1" si="0"/>
        <v>2E-3</v>
      </c>
      <c r="I65" s="1928" t="s">
        <v>1573</v>
      </c>
      <c r="J65" s="1929">
        <v>40</v>
      </c>
      <c r="K65" s="1929">
        <v>30</v>
      </c>
      <c r="L65" s="1929">
        <v>50</v>
      </c>
      <c r="M65" s="1931">
        <v>0.02</v>
      </c>
      <c r="O65" s="1884" t="s">
        <v>1037</v>
      </c>
      <c r="P65" s="1885" t="s">
        <v>1574</v>
      </c>
      <c r="Q65" s="1886">
        <f ca="1">C40+J29</f>
        <v>15540</v>
      </c>
      <c r="R65" s="1886" t="s">
        <v>1523</v>
      </c>
    </row>
    <row r="66" spans="1:18" s="1842" customFormat="1" ht="16.5" thickBot="1">
      <c r="A66" s="1201" t="s">
        <v>1498</v>
      </c>
      <c r="B66" s="1169" t="s">
        <v>1433</v>
      </c>
      <c r="C66" s="24">
        <f ca="1">ROUND(C48*F66,1)</f>
        <v>29.8</v>
      </c>
      <c r="D66" s="1183" t="s">
        <v>1499</v>
      </c>
      <c r="E66" s="1169" t="s">
        <v>1416</v>
      </c>
      <c r="F66" s="357">
        <f t="shared" ca="1" si="0"/>
        <v>0.03</v>
      </c>
      <c r="O66" s="1884" t="s">
        <v>1038</v>
      </c>
      <c r="P66" s="1885" t="s">
        <v>1552</v>
      </c>
      <c r="Q66" s="1886">
        <f ca="1">L60</f>
        <v>0</v>
      </c>
      <c r="R66" s="1886" t="s">
        <v>1575</v>
      </c>
    </row>
    <row r="67" spans="1:18" s="1842" customFormat="1" ht="16.5" thickBot="1">
      <c r="A67" s="1176" t="s">
        <v>1028</v>
      </c>
      <c r="B67" s="1186" t="s">
        <v>1457</v>
      </c>
      <c r="C67" s="361">
        <f ca="1">C48-C58</f>
        <v>732</v>
      </c>
      <c r="D67" s="1182" t="s">
        <v>1458</v>
      </c>
      <c r="E67" s="1187"/>
      <c r="F67" s="1188"/>
      <c r="O67" s="1894" t="s">
        <v>1039</v>
      </c>
      <c r="P67" s="1885" t="s">
        <v>1556</v>
      </c>
      <c r="Q67" s="1932">
        <f ca="1">L51</f>
        <v>8482</v>
      </c>
      <c r="R67" s="1886" t="s">
        <v>1576</v>
      </c>
    </row>
    <row r="68" spans="1:18" s="1842" customFormat="1" ht="16.5" thickBot="1">
      <c r="A68" s="1166" t="s">
        <v>1029</v>
      </c>
      <c r="B68" s="1167" t="s">
        <v>1479</v>
      </c>
      <c r="C68" s="346">
        <f ca="1">ROUND(C67*(1-((1+F70)/(1+F68))^F69)/(F68-F70),0)</f>
        <v>742</v>
      </c>
      <c r="D68" s="1184" t="s">
        <v>1463</v>
      </c>
      <c r="E68" s="1169" t="s">
        <v>1464</v>
      </c>
      <c r="F68" s="357">
        <f ca="1">F40</f>
        <v>5.5E-2</v>
      </c>
      <c r="O68" s="1894" t="s">
        <v>1040</v>
      </c>
      <c r="P68" s="1933" t="s">
        <v>1577</v>
      </c>
      <c r="Q68" s="1886">
        <f ca="1">ROUND(Q69-Q70*Q71,0)</f>
        <v>552</v>
      </c>
      <c r="R68" s="1886" t="s">
        <v>1048</v>
      </c>
    </row>
    <row r="69" spans="1:18" s="1842" customFormat="1" ht="13.5" thickBot="1">
      <c r="A69" s="1170"/>
      <c r="B69" s="1171"/>
      <c r="C69" s="351"/>
      <c r="D69" s="1189" t="s">
        <v>1467</v>
      </c>
      <c r="E69" s="1169" t="s">
        <v>1468</v>
      </c>
      <c r="F69" s="379">
        <f ca="1">F41</f>
        <v>1.07</v>
      </c>
      <c r="O69" s="1894" t="s">
        <v>1045</v>
      </c>
      <c r="P69" s="1933" t="s">
        <v>1578</v>
      </c>
      <c r="Q69" s="1886">
        <f ca="1">C39</f>
        <v>590</v>
      </c>
      <c r="R69" s="1886" t="s">
        <v>1523</v>
      </c>
    </row>
    <row r="70" spans="1:18" s="1842" customFormat="1" ht="13.5" thickBot="1">
      <c r="A70" s="1173"/>
      <c r="B70" s="1174"/>
      <c r="C70" s="355"/>
      <c r="D70" s="1185"/>
      <c r="E70" s="1169" t="s">
        <v>1471</v>
      </c>
      <c r="F70" s="1275">
        <v>0.03</v>
      </c>
      <c r="O70" s="1894" t="s">
        <v>1046</v>
      </c>
      <c r="P70" s="1933" t="s">
        <v>1579</v>
      </c>
      <c r="Q70" s="1886">
        <f ca="1">C13</f>
        <v>448</v>
      </c>
      <c r="R70" s="1886" t="s">
        <v>1523</v>
      </c>
    </row>
    <row r="71" spans="1:18" s="1842" customFormat="1" ht="13.5" thickBot="1">
      <c r="A71" s="1190" t="s">
        <v>1030</v>
      </c>
      <c r="B71" s="1191" t="s">
        <v>1481</v>
      </c>
      <c r="C71" s="382">
        <f ca="1">ROUND(C68*10000/F71,0)</f>
        <v>1476</v>
      </c>
      <c r="D71" s="1192" t="s">
        <v>1482</v>
      </c>
      <c r="E71" s="1193" t="s">
        <v>1483</v>
      </c>
      <c r="F71" s="385">
        <f ca="1">F43</f>
        <v>5028.579999999999</v>
      </c>
      <c r="O71" s="1894" t="s">
        <v>1047</v>
      </c>
      <c r="P71" s="1933" t="s">
        <v>1580</v>
      </c>
      <c r="Q71" s="1897">
        <f ca="1">C76</f>
        <v>8.5000000000000006E-2</v>
      </c>
      <c r="R71" s="1886"/>
    </row>
    <row r="72" spans="1:18" s="1842" customFormat="1" ht="13.5" thickBot="1">
      <c r="B72" s="796"/>
      <c r="C72" s="796"/>
      <c r="O72" s="1894" t="s">
        <v>1041</v>
      </c>
      <c r="P72" s="1885" t="s">
        <v>1558</v>
      </c>
      <c r="Q72" s="1897">
        <f>L52</f>
        <v>0</v>
      </c>
      <c r="R72" s="1886"/>
    </row>
    <row r="73" spans="1:18" ht="16.5" thickBot="1">
      <c r="A73" s="1842"/>
      <c r="B73" s="796"/>
      <c r="C73" s="796"/>
      <c r="D73" s="1842"/>
      <c r="E73" s="1842"/>
      <c r="F73" s="1842"/>
      <c r="O73" s="1894" t="s">
        <v>1042</v>
      </c>
      <c r="P73" s="1885" t="s">
        <v>1561</v>
      </c>
      <c r="Q73" s="1886" t="e">
        <f ca="1">L58</f>
        <v>#DIV/0!</v>
      </c>
      <c r="R73" s="1886" t="s">
        <v>1562</v>
      </c>
    </row>
    <row r="74" spans="1:18" ht="13.5" thickBot="1">
      <c r="A74" s="1842"/>
      <c r="B74" s="317" t="s">
        <v>1581</v>
      </c>
      <c r="C74" s="1935"/>
      <c r="D74" s="1842"/>
      <c r="E74" s="1842"/>
      <c r="F74" s="1842"/>
      <c r="O74" s="1894" t="s">
        <v>1049</v>
      </c>
      <c r="P74" s="1885" t="str">
        <f>K59</f>
        <v>建筑物剩余耐用年限下的土地年期修正系数Kn</v>
      </c>
      <c r="Q74" s="1886" t="e">
        <f ca="1">L59</f>
        <v>#DIV/0!</v>
      </c>
      <c r="R74" s="1886" t="s">
        <v>1563</v>
      </c>
    </row>
    <row r="75" spans="1:18" ht="13.5" thickBot="1">
      <c r="A75" s="1842"/>
      <c r="B75" s="386" t="s">
        <v>1500</v>
      </c>
      <c r="C75" s="387">
        <f ca="1">ROUND(C13*C76,0)</f>
        <v>38</v>
      </c>
      <c r="D75" s="1842"/>
      <c r="E75" s="1842"/>
      <c r="F75" s="1842"/>
      <c r="K75" s="1868"/>
      <c r="L75" s="1842"/>
      <c r="O75" s="1884" t="s">
        <v>1043</v>
      </c>
      <c r="P75" s="1885" t="s">
        <v>1543</v>
      </c>
      <c r="Q75" s="1886">
        <f ca="1">Q65+Q66</f>
        <v>15540</v>
      </c>
      <c r="R75" s="1886" t="s">
        <v>1044</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0.93599999999999994</v>
      </c>
    </row>
    <row r="80" spans="1:18">
      <c r="B80" s="386" t="s">
        <v>1505</v>
      </c>
      <c r="C80" s="318">
        <f ca="1">ROUND(C75/C39,3)</f>
        <v>6.4000000000000001E-2</v>
      </c>
    </row>
    <row r="81" spans="2:3">
      <c r="B81" s="314" t="s">
        <v>1506</v>
      </c>
      <c r="C81" s="282"/>
    </row>
    <row r="82" spans="2:3">
      <c r="B82" s="317" t="s">
        <v>1507</v>
      </c>
      <c r="C82" s="319">
        <f ca="1">1-C83</f>
        <v>0.25</v>
      </c>
    </row>
    <row r="83" spans="2:3">
      <c r="B83" s="317" t="s">
        <v>1508</v>
      </c>
      <c r="C83" s="318">
        <f ca="1">ROUND(C13/C40,3)</f>
        <v>0.75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1032</v>
      </c>
      <c r="B6" s="3180" t="s">
        <v>1398</v>
      </c>
      <c r="C6" s="1296">
        <f ca="1">ROUND(F6*F8*F7*(1-F9),0)</f>
        <v>0</v>
      </c>
      <c r="D6" s="164" t="s">
        <v>3025</v>
      </c>
      <c r="E6" s="347" t="s">
        <v>1400</v>
      </c>
      <c r="F6" s="348">
        <f ca="1">INDIRECT("'数据-取费表'!u"&amp;$G$1)</f>
        <v>0</v>
      </c>
      <c r="G6" s="1851"/>
      <c r="H6" s="1291" t="s">
        <v>1032</v>
      </c>
      <c r="I6" s="3180" t="s">
        <v>1398</v>
      </c>
      <c r="J6" s="346">
        <f ca="1">ROUND(M6*M8*M7*(1-M9),0)</f>
        <v>0</v>
      </c>
      <c r="K6" s="1834" t="s">
        <v>3026</v>
      </c>
      <c r="L6" s="347" t="s">
        <v>1400</v>
      </c>
      <c r="M6" s="348">
        <f ca="1">INDIRECT("'数据-取费表'!z"&amp;$G$1)</f>
        <v>0</v>
      </c>
    </row>
    <row r="7" spans="1:37" ht="18" customHeight="1">
      <c r="A7" s="1295"/>
      <c r="B7" s="3181"/>
      <c r="C7" s="1297"/>
      <c r="D7" s="352"/>
      <c r="E7" s="1298" t="s">
        <v>1401</v>
      </c>
      <c r="F7" s="348">
        <f ca="1">IF(INDIRECT("'数据-取费表'!ah"&amp;$G$1)="",INDIRECT("'数据-取费表'!k"&amp;$G$1),INDIRECT("'数据-取费表'!ah"&amp;$G$1))</f>
        <v>0</v>
      </c>
      <c r="G7" s="1851"/>
      <c r="H7" s="349"/>
      <c r="I7" s="3181"/>
      <c r="J7" s="351"/>
      <c r="K7" s="352"/>
      <c r="L7" s="347" t="s">
        <v>1401</v>
      </c>
      <c r="M7" s="348">
        <f ca="1">F7</f>
        <v>0</v>
      </c>
    </row>
    <row r="8" spans="1:37" ht="18" customHeight="1">
      <c r="A8" s="349"/>
      <c r="B8" s="3181"/>
      <c r="C8" s="351"/>
      <c r="D8" s="352"/>
      <c r="E8" s="347" t="s">
        <v>1402</v>
      </c>
      <c r="F8" s="348">
        <f ca="1">INDIRECT("'数据-取费表'!ai"&amp;$G$1)</f>
        <v>0</v>
      </c>
      <c r="G8" s="1851"/>
      <c r="H8" s="349"/>
      <c r="I8" s="3181"/>
      <c r="J8" s="351"/>
      <c r="K8" s="352"/>
      <c r="L8" s="347" t="s">
        <v>1402</v>
      </c>
      <c r="M8" s="348">
        <f ca="1">INDIRECT("'数据-取费表'!ai"&amp;$G$1)</f>
        <v>0</v>
      </c>
    </row>
    <row r="9" spans="1:37" ht="18" customHeight="1">
      <c r="A9" s="349"/>
      <c r="B9" s="3182"/>
      <c r="C9" s="351"/>
      <c r="D9" s="352"/>
      <c r="E9" s="347" t="s">
        <v>1403</v>
      </c>
      <c r="F9" s="357">
        <f ca="1">INDIRECT("'数据-取费表'!w"&amp;$G$1)</f>
        <v>0</v>
      </c>
      <c r="G9" s="1851"/>
      <c r="H9" s="349"/>
      <c r="I9" s="3182"/>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3036</v>
      </c>
      <c r="E10" s="358" t="s">
        <v>1405</v>
      </c>
      <c r="F10" s="1366"/>
      <c r="G10" s="1851"/>
      <c r="H10" s="1291" t="s">
        <v>1036</v>
      </c>
      <c r="I10" s="1823" t="s">
        <v>1404</v>
      </c>
      <c r="J10" s="346">
        <f ca="1">ROUND(IF(M10="押一",J6/12*M11,IF(M10="押二",J6/12*2*M11,IF(M10="押三",J6/12*3*M11,J11*M11))),0)</f>
        <v>0</v>
      </c>
      <c r="K10" s="1835" t="s">
        <v>3038</v>
      </c>
      <c r="L10" s="358" t="s">
        <v>1405</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1072</v>
      </c>
      <c r="B12" s="1827" t="s">
        <v>1407</v>
      </c>
      <c r="C12" s="1334"/>
      <c r="D12" s="1335"/>
      <c r="E12" s="1340"/>
      <c r="F12" s="1336"/>
      <c r="G12" s="1851"/>
      <c r="H12" s="1333" t="s">
        <v>1072</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1031</v>
      </c>
      <c r="B14" s="347" t="s">
        <v>1411</v>
      </c>
      <c r="C14" s="363">
        <f ca="1">ROUND(INDIRECT("'数据-取费表'!l"&amp;$G$1)*F43+'数据-取费表'!L14*INDIRECT("'数据-取费表'!S"&amp;$G$1),0)</f>
        <v>0</v>
      </c>
      <c r="D14" s="1800" t="s">
        <v>1412</v>
      </c>
      <c r="E14" s="1794"/>
      <c r="F14" s="364"/>
      <c r="G14" s="1851"/>
      <c r="H14" s="1201" t="s">
        <v>1032</v>
      </c>
      <c r="I14" s="347" t="s">
        <v>1413</v>
      </c>
      <c r="J14" s="24">
        <f ca="1">C29</f>
        <v>0</v>
      </c>
      <c r="K14" s="15"/>
      <c r="L14" s="979"/>
      <c r="M14" s="980"/>
    </row>
    <row r="15" spans="1:37" s="1858" customFormat="1" ht="18" customHeight="1" thickBot="1">
      <c r="A15" s="1201" t="s">
        <v>1033</v>
      </c>
      <c r="B15" s="347" t="s">
        <v>1414</v>
      </c>
      <c r="C15" s="24">
        <f ca="1">ROUND(C14*F15,0)</f>
        <v>0</v>
      </c>
      <c r="D15" s="365" t="s">
        <v>1415</v>
      </c>
      <c r="E15" s="365" t="s">
        <v>1416</v>
      </c>
      <c r="F15" s="366">
        <f>'数据-取费表'!B33</f>
        <v>0.03</v>
      </c>
      <c r="G15" s="1854"/>
      <c r="H15" s="1339" t="s">
        <v>1036</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1417</v>
      </c>
      <c r="C16" s="24">
        <f ca="1">ROUND(INDIRECT("'数据-取费表'!l"&amp;$G$1)*F43*F16,0)</f>
        <v>0</v>
      </c>
      <c r="D16" s="347" t="s">
        <v>1415</v>
      </c>
      <c r="E16" s="347" t="s">
        <v>1416</v>
      </c>
      <c r="F16" s="367">
        <f ca="1">IF(INDIRECT("'数据-取费表'!c"&amp;$G$1)="住宅",'数据-取费表'!B34,0)</f>
        <v>0</v>
      </c>
      <c r="G16" s="1851"/>
      <c r="H16" s="1329" t="s">
        <v>1027</v>
      </c>
      <c r="I16" s="1330" t="s">
        <v>1418</v>
      </c>
      <c r="J16" s="355">
        <f ca="1">ROUND(J17+J22+J23+J24,0)</f>
        <v>0</v>
      </c>
      <c r="K16" s="1337" t="s">
        <v>1419</v>
      </c>
      <c r="L16" s="1338"/>
      <c r="M16" s="1294"/>
    </row>
    <row r="17" spans="1:37" s="1858" customFormat="1" ht="18" customHeight="1">
      <c r="A17" s="1201" t="s">
        <v>1385</v>
      </c>
      <c r="B17" s="347" t="s">
        <v>1420</v>
      </c>
      <c r="C17" s="24">
        <f ca="1">ROUND(F17*(F43+INDIRECT("'数据-取费表'!S"&amp;$G$1)),0)</f>
        <v>0</v>
      </c>
      <c r="D17" s="347" t="s">
        <v>1421</v>
      </c>
      <c r="E17" s="347" t="s">
        <v>1422</v>
      </c>
      <c r="F17" s="26">
        <f>'数据-取费表'!B35</f>
        <v>200</v>
      </c>
      <c r="G17" s="1854"/>
      <c r="H17" s="1201" t="s">
        <v>1032</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1426</v>
      </c>
      <c r="C18" s="24">
        <f ca="1">ROUND(C14*F18,0)</f>
        <v>0</v>
      </c>
      <c r="D18" s="347" t="s">
        <v>1415</v>
      </c>
      <c r="E18" s="347" t="s">
        <v>1416</v>
      </c>
      <c r="F18" s="367">
        <f>'数据-取费表'!B36</f>
        <v>1.4999999999999999E-2</v>
      </c>
      <c r="G18" s="1854"/>
      <c r="H18" s="1201" t="s">
        <v>1031</v>
      </c>
      <c r="I18" s="347" t="s">
        <v>1427</v>
      </c>
      <c r="J18" s="24">
        <f ca="1">ROUND(J6*M18/(1+'数据-取费表'!C42),0)</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1429</v>
      </c>
      <c r="C19" s="24">
        <f ca="1">SUM(C14:C18)</f>
        <v>0</v>
      </c>
      <c r="D19" s="140" t="s">
        <v>1430</v>
      </c>
      <c r="E19" s="1818"/>
      <c r="F19" s="26"/>
      <c r="G19" s="1851"/>
      <c r="H19" s="1201" t="s">
        <v>1033</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1036</v>
      </c>
      <c r="B20" s="347" t="s">
        <v>1433</v>
      </c>
      <c r="C20" s="24">
        <f ca="1">ROUND(C19*F20,0)</f>
        <v>0</v>
      </c>
      <c r="D20" s="369" t="s">
        <v>1434</v>
      </c>
      <c r="E20" s="347" t="s">
        <v>1416</v>
      </c>
      <c r="F20" s="367">
        <f>'数据-取费表'!B37</f>
        <v>0.01</v>
      </c>
      <c r="G20" s="1854"/>
      <c r="H20" s="1201" t="s">
        <v>1384</v>
      </c>
      <c r="I20" s="164" t="s">
        <v>1435</v>
      </c>
      <c r="J20" s="25">
        <f ca="1">ROUND(M20*M21,0)</f>
        <v>0</v>
      </c>
      <c r="K20" s="370" t="s">
        <v>1436</v>
      </c>
      <c r="L20" s="347" t="s">
        <v>1437</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1438</v>
      </c>
      <c r="C21" s="24" t="s">
        <v>1</v>
      </c>
      <c r="D21" s="369" t="s">
        <v>1439</v>
      </c>
      <c r="E21" s="347" t="s">
        <v>1440</v>
      </c>
      <c r="F21" s="367">
        <f>'数据-取费表'!B38</f>
        <v>0.01</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1442</v>
      </c>
      <c r="C22" s="24"/>
      <c r="D22" s="140" t="str">
        <f>IF(F23&lt;=1,"单利计息。","复利计息。")&amp;"建造成本、管理费用、销售费用产生的利息。"</f>
        <v>复利计息。建造成本、管理费用、销售费用产生的利息。</v>
      </c>
      <c r="E22" s="1818"/>
      <c r="F22" s="26"/>
      <c r="G22" s="1851"/>
      <c r="H22" s="1201" t="s">
        <v>1036</v>
      </c>
      <c r="I22" s="347" t="s">
        <v>1443</v>
      </c>
      <c r="J22" s="24">
        <f ca="1">ROUND(J14*M22,0)</f>
        <v>0</v>
      </c>
      <c r="K22" s="1798" t="s">
        <v>1444</v>
      </c>
      <c r="L22" s="347" t="s">
        <v>1416</v>
      </c>
      <c r="M22" s="374">
        <f ca="1">INDIRECT("'数据-取费表'!Ak"&amp;$G$1)</f>
        <v>0</v>
      </c>
    </row>
    <row r="23" spans="1:37" s="1858" customFormat="1" ht="18" customHeight="1">
      <c r="A23" s="1201" t="s">
        <v>1031</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1.5</v>
      </c>
      <c r="G23" s="1854"/>
      <c r="H23" s="1201" t="s">
        <v>1072</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销售费用×((1+利率)^(建设周期÷2)-1)</v>
      </c>
      <c r="E24" s="347" t="s">
        <v>1452</v>
      </c>
      <c r="F24" s="377">
        <f ca="1">'数据-取费表'!B40</f>
        <v>4.7500000000000001E-2</v>
      </c>
      <c r="G24" s="1854"/>
      <c r="H24" s="1339" t="s">
        <v>1388</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1028</v>
      </c>
      <c r="I25" s="1344" t="s">
        <v>1457</v>
      </c>
      <c r="J25" s="355">
        <f ca="1">J5-J16</f>
        <v>0</v>
      </c>
      <c r="K25" s="1345" t="s">
        <v>1458</v>
      </c>
      <c r="L25" s="1346"/>
      <c r="M25" s="1347"/>
    </row>
    <row r="26" spans="1:37" ht="18" customHeight="1">
      <c r="A26" s="1201" t="s">
        <v>1031</v>
      </c>
      <c r="B26" s="347" t="s">
        <v>1459</v>
      </c>
      <c r="C26" s="24">
        <f ca="1">ROUND((C19+C20)*F26,0)</f>
        <v>0</v>
      </c>
      <c r="D26" s="369" t="s">
        <v>1460</v>
      </c>
      <c r="E26" s="358" t="s">
        <v>1461</v>
      </c>
      <c r="F26" s="357">
        <f ca="1">INDIRECT("'数据-取费表'!q"&amp;$G$1)</f>
        <v>0</v>
      </c>
      <c r="G26" s="1851"/>
      <c r="H26" s="344" t="s">
        <v>1029</v>
      </c>
      <c r="I26" s="345" t="s">
        <v>1462</v>
      </c>
      <c r="J26" s="346">
        <f ca="1">IF(J5&lt;&gt;0,ROUND(J25*(1-((1+M28)/(1+M26))^M27)/(M26-M28),0),0)</f>
        <v>0</v>
      </c>
      <c r="K26" s="370" t="s">
        <v>1463</v>
      </c>
      <c r="L26" s="347" t="s">
        <v>1464</v>
      </c>
      <c r="M26" s="357">
        <f ca="1">INDIRECT("'数据-取费表'!I"&amp;$G$1)</f>
        <v>0</v>
      </c>
    </row>
    <row r="27" spans="1:37" ht="18" customHeight="1">
      <c r="A27" s="1201" t="s">
        <v>1033</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1034</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1472</v>
      </c>
      <c r="C29" s="1341">
        <f ca="1">ROUND((C19+C20+C23+C26)/(1-F21-C24-C27-C28),0)</f>
        <v>0</v>
      </c>
      <c r="D29" s="1342"/>
      <c r="E29" s="1340"/>
      <c r="F29" s="1343"/>
      <c r="G29" s="1854"/>
      <c r="H29" s="380" t="s">
        <v>1030</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1418</v>
      </c>
      <c r="C30" s="355">
        <f ca="1">ROUND(C31+C36+C37+C38,0)</f>
        <v>0</v>
      </c>
      <c r="D30" s="1337" t="s">
        <v>1419</v>
      </c>
      <c r="E30" s="1338"/>
      <c r="F30" s="1294"/>
      <c r="G30" s="1851"/>
      <c r="H30" s="745"/>
      <c r="I30" s="746"/>
      <c r="J30" s="747"/>
      <c r="K30" s="748"/>
      <c r="L30" s="749"/>
      <c r="M30" s="750"/>
    </row>
    <row r="31" spans="1:37" ht="18" customHeight="1">
      <c r="A31" s="1201" t="s">
        <v>1032</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1427</v>
      </c>
      <c r="C32" s="24">
        <f ca="1">IF(项目基本情况!B11="自然人","——",ROUND(C6*F32/(1+'数据-取费表'!C42),0))</f>
        <v>0</v>
      </c>
      <c r="D32" s="1798" t="s">
        <v>1428</v>
      </c>
      <c r="E32" s="347" t="s">
        <v>1416</v>
      </c>
      <c r="F32" s="377">
        <f>'数据-取费表'!B41</f>
        <v>5.6000000000000001E-2</v>
      </c>
      <c r="G32" s="1851"/>
      <c r="H32" s="745"/>
      <c r="I32" s="746"/>
      <c r="J32" s="747"/>
      <c r="K32" s="748"/>
      <c r="L32" s="749"/>
      <c r="M32" s="750"/>
    </row>
    <row r="33" spans="1:18" ht="18" customHeight="1">
      <c r="A33" s="1201" t="s">
        <v>1033</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1384</v>
      </c>
      <c r="B34" s="164" t="s">
        <v>1435</v>
      </c>
      <c r="C34" s="25">
        <f ca="1">IF(项目基本情况!B11="自然人","——",ROUND(F34*F35,))</f>
        <v>0</v>
      </c>
      <c r="D34" s="370" t="s">
        <v>1436</v>
      </c>
      <c r="E34" s="347" t="s">
        <v>1437</v>
      </c>
      <c r="F34" s="371">
        <f>'数据-取费表'!B52</f>
        <v>24</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1036</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1072</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1388</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1028</v>
      </c>
      <c r="B39" s="1344" t="s">
        <v>1477</v>
      </c>
      <c r="C39" s="355">
        <f ca="1">C5-C30</f>
        <v>0</v>
      </c>
      <c r="D39" s="1345" t="s">
        <v>1478</v>
      </c>
      <c r="E39" s="1346"/>
      <c r="F39" s="1347"/>
      <c r="G39" s="1851"/>
      <c r="H39" s="1859"/>
      <c r="I39" s="1860"/>
      <c r="J39" s="1861"/>
      <c r="K39" s="1865"/>
      <c r="L39" s="1859"/>
      <c r="M39" s="1859"/>
    </row>
    <row r="40" spans="1:18" ht="18" customHeight="1">
      <c r="A40" s="344" t="s">
        <v>1029</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1030</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1391</v>
      </c>
      <c r="B47" s="1197" t="s">
        <v>1392</v>
      </c>
      <c r="C47" s="1197" t="s">
        <v>1393</v>
      </c>
      <c r="D47" s="1197" t="s">
        <v>1394</v>
      </c>
      <c r="E47" s="1279" t="s">
        <v>1395</v>
      </c>
      <c r="F47" s="1280"/>
      <c r="G47" s="792"/>
      <c r="I47" s="1880" t="s">
        <v>1520</v>
      </c>
      <c r="J47" s="1881"/>
      <c r="K47" s="1882" t="s">
        <v>1521</v>
      </c>
      <c r="L47" s="1883">
        <f ca="1">INDIRECT("'数据-取费表'!d"&amp;$G$1)</f>
        <v>0</v>
      </c>
      <c r="M47" s="1838" t="str">
        <f>IF(ISNUMBER(FIND("住宅",C1)),"住宅","非住宅")</f>
        <v>非住宅</v>
      </c>
      <c r="O47" s="1884" t="s">
        <v>1037</v>
      </c>
      <c r="P47" s="1885" t="s">
        <v>1522</v>
      </c>
      <c r="Q47" s="1886" t="e">
        <f ca="1">C40+J29</f>
        <v>#DIV/0!</v>
      </c>
      <c r="R47" s="1886" t="s">
        <v>1523</v>
      </c>
    </row>
    <row r="48" spans="1:18" s="1842" customFormat="1" ht="28.5" thickBot="1">
      <c r="A48" s="1360" t="s">
        <v>1132</v>
      </c>
      <c r="B48" s="345" t="s">
        <v>1396</v>
      </c>
      <c r="C48" s="1817">
        <f ca="1">C49+C53+C55</f>
        <v>0</v>
      </c>
      <c r="D48" s="1362"/>
      <c r="E48" s="1363"/>
      <c r="F48" s="1181"/>
      <c r="G48" s="792"/>
      <c r="H48" s="793"/>
      <c r="I48" s="1887" t="s">
        <v>1524</v>
      </c>
      <c r="J48" s="1888"/>
      <c r="K48" s="1889" t="s">
        <v>1525</v>
      </c>
      <c r="L48" s="1890">
        <f ca="1">INDIRECT("'数据-取费表'!f"&amp;$G$1)</f>
        <v>0</v>
      </c>
      <c r="O48" s="1884" t="s">
        <v>1038</v>
      </c>
      <c r="P48" s="1885" t="s">
        <v>1526</v>
      </c>
      <c r="Q48" s="1886" t="e">
        <f ca="1">J60</f>
        <v>#DIV/0!</v>
      </c>
      <c r="R48" s="1886" t="s">
        <v>1527</v>
      </c>
    </row>
    <row r="49" spans="1:18" s="1842" customFormat="1" ht="13.5" thickBot="1">
      <c r="A49" s="1194" t="s">
        <v>1133</v>
      </c>
      <c r="B49" s="1829" t="s">
        <v>1484</v>
      </c>
      <c r="C49" s="1364">
        <f ca="1">ROUND(F49*F51*F50*(1-F52),0)</f>
        <v>0</v>
      </c>
      <c r="D49" s="1276" t="s">
        <v>1399</v>
      </c>
      <c r="E49" s="1830" t="s">
        <v>1485</v>
      </c>
      <c r="F49" s="1281"/>
      <c r="G49" s="1891"/>
      <c r="H49" s="793"/>
      <c r="I49" s="1887" t="s">
        <v>1528</v>
      </c>
      <c r="J49" s="1892"/>
      <c r="K49" s="1889" t="s">
        <v>1529</v>
      </c>
      <c r="L49" s="1893"/>
      <c r="O49" s="1894" t="s">
        <v>1039</v>
      </c>
      <c r="P49" s="1885" t="s">
        <v>1530</v>
      </c>
      <c r="Q49" s="1886">
        <f ca="1">C29</f>
        <v>0</v>
      </c>
      <c r="R49" s="1886" t="s">
        <v>1523</v>
      </c>
    </row>
    <row r="50" spans="1:18" s="1842" customFormat="1" ht="13.5" thickBot="1">
      <c r="A50" s="1195"/>
      <c r="B50" s="1198"/>
      <c r="C50" s="1199"/>
      <c r="D50" s="1172"/>
      <c r="E50" s="1277" t="s">
        <v>1401</v>
      </c>
      <c r="F50" s="1278">
        <f ca="1">F7</f>
        <v>0</v>
      </c>
      <c r="H50" s="793"/>
      <c r="I50" s="1887" t="s">
        <v>1531</v>
      </c>
      <c r="J50" s="1895">
        <f>SUMPRODUCT((I63:I65=J47)*(J62:L62=J48)*(J63:L65))</f>
        <v>0</v>
      </c>
      <c r="K50" s="1889" t="s">
        <v>1532</v>
      </c>
      <c r="L50" s="1893"/>
      <c r="M50" s="1896"/>
      <c r="O50" s="1894" t="s">
        <v>1040</v>
      </c>
      <c r="P50" s="1885" t="s">
        <v>1533</v>
      </c>
      <c r="Q50" s="1897" t="e">
        <f ca="1">J58</f>
        <v>#DIV/0!</v>
      </c>
      <c r="R50" s="1886"/>
    </row>
    <row r="51" spans="1:18" s="1842" customFormat="1" ht="13.5" thickBot="1">
      <c r="A51" s="1196"/>
      <c r="B51" s="1198"/>
      <c r="C51" s="1199"/>
      <c r="D51" s="1172"/>
      <c r="E51" s="1200" t="s">
        <v>1402</v>
      </c>
      <c r="F51" s="348">
        <f ca="1">F8</f>
        <v>0</v>
      </c>
      <c r="I51" s="1898" t="s">
        <v>1534</v>
      </c>
      <c r="J51" s="1899">
        <f>IF(J49="",J50,J49+J50-YEAR('数据-取费表'!B2))</f>
        <v>0</v>
      </c>
      <c r="K51" s="1900" t="s">
        <v>1535</v>
      </c>
      <c r="L51" s="1901">
        <f ca="1">ROUND(-PV(INDIRECT("'数据-取费表'!h"&amp;$G$1),L48,(C39-C13*C76),0),0)</f>
        <v>0</v>
      </c>
      <c r="M51" s="1902"/>
      <c r="O51" s="1894" t="s">
        <v>1041</v>
      </c>
      <c r="P51" s="1885" t="s">
        <v>1536</v>
      </c>
      <c r="Q51" s="1897">
        <f>J52</f>
        <v>0</v>
      </c>
      <c r="R51" s="1886"/>
    </row>
    <row r="52" spans="1:18" s="1842" customFormat="1" ht="13.5" thickBot="1">
      <c r="A52" s="1196"/>
      <c r="B52" s="1198"/>
      <c r="C52" s="1199"/>
      <c r="D52" s="1172"/>
      <c r="E52" s="1200" t="s">
        <v>1403</v>
      </c>
      <c r="F52" s="1275"/>
      <c r="I52" s="1903" t="s">
        <v>1537</v>
      </c>
      <c r="J52" s="1904"/>
      <c r="K52" s="1903" t="s">
        <v>1538</v>
      </c>
      <c r="L52" s="1904"/>
      <c r="O52" s="1894" t="s">
        <v>1042</v>
      </c>
      <c r="P52" s="1885" t="s">
        <v>1539</v>
      </c>
      <c r="Q52" s="1886">
        <f ca="1">J53</f>
        <v>0</v>
      </c>
      <c r="R52" s="1886" t="s">
        <v>1540</v>
      </c>
    </row>
    <row r="53" spans="1:18" s="1842" customFormat="1" ht="30.75" customHeight="1" thickBot="1">
      <c r="A53" s="1361" t="s">
        <v>1134</v>
      </c>
      <c r="B53" s="369" t="s">
        <v>1404</v>
      </c>
      <c r="C53" s="361">
        <f ca="1">ROUND(IF(F53="押一",C49/12*F11,IF(F53="押二",C49/12*2*F11,IF(F53="押三",C49/12*3*F11,C54*F11))),0)</f>
        <v>0</v>
      </c>
      <c r="D53" s="1824" t="s">
        <v>3039</v>
      </c>
      <c r="E53" s="358" t="s">
        <v>1405</v>
      </c>
      <c r="F53" s="1366"/>
      <c r="I53" s="1905" t="s">
        <v>1541</v>
      </c>
      <c r="J53" s="2948">
        <f ca="1">IF(M47="住宅",IF(D1="——",MAX(J51,L48),MAX(J51,L48-'数据-取费表'!B24)),IF(D1="——",MIN(J51,L48),MIN(J51,L48-'数据-取费表'!B24)))</f>
        <v>0</v>
      </c>
      <c r="K53" s="3178" t="s">
        <v>1542</v>
      </c>
      <c r="L53" s="3179"/>
      <c r="O53" s="1884" t="s">
        <v>1043</v>
      </c>
      <c r="P53" s="1885" t="s">
        <v>1543</v>
      </c>
      <c r="Q53" s="1886" t="e">
        <f ca="1">Q47+Q48</f>
        <v>#DIV/0!</v>
      </c>
      <c r="R53" s="1886" t="s">
        <v>1044</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1072</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1037</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1038</v>
      </c>
      <c r="P57" s="1885" t="s">
        <v>1600</v>
      </c>
      <c r="Q57" s="1886" t="e">
        <f ca="1">L60</f>
        <v>#DIV/0!</v>
      </c>
      <c r="R57" s="1886" t="s">
        <v>1601</v>
      </c>
    </row>
    <row r="58" spans="1:18" s="1842" customFormat="1" ht="24.75" thickBot="1">
      <c r="A58" s="360" t="s">
        <v>1027</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1039</v>
      </c>
      <c r="P58" s="1885" t="s">
        <v>1556</v>
      </c>
      <c r="Q58" s="1886">
        <f>IF(L55="比较法",L49,IF(L55="基准地价",L50,0))</f>
        <v>0</v>
      </c>
      <c r="R58" s="1886" t="s">
        <v>1523</v>
      </c>
    </row>
    <row r="59" spans="1:18" s="1842" customFormat="1" ht="24.75" thickBot="1">
      <c r="A59" s="1201" t="s">
        <v>1032</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1558</v>
      </c>
      <c r="Q59" s="1897">
        <f>L52</f>
        <v>0</v>
      </c>
      <c r="R59" s="1886"/>
    </row>
    <row r="60" spans="1:18" s="1842" customFormat="1" ht="16.5" thickBot="1">
      <c r="A60" s="1201" t="s">
        <v>1031</v>
      </c>
      <c r="B60" s="1169" t="s">
        <v>1427</v>
      </c>
      <c r="C60" s="24">
        <f ca="1">IF(项目基本情况!B11="自然人","——",ROUND(C48*F60/(1+'数据-取费表'!C42),0))</f>
        <v>0</v>
      </c>
      <c r="D60" s="1183" t="s">
        <v>1428</v>
      </c>
      <c r="E60" s="1169" t="s">
        <v>1416</v>
      </c>
      <c r="F60" s="377">
        <f t="shared" ref="F60:F66" si="0">F32</f>
        <v>5.6000000000000001E-2</v>
      </c>
      <c r="I60" s="1924" t="s">
        <v>1559</v>
      </c>
      <c r="J60" s="1925" t="e">
        <f ca="1">IF(OR(M47="住宅",J51&lt;L48,J56="是"),"0",ROUND(J59/(1+J52)^J53,0))</f>
        <v>#DIV/0!</v>
      </c>
      <c r="K60" s="1926" t="s">
        <v>1560</v>
      </c>
      <c r="L60" s="1925" t="e">
        <f ca="1">IF(OR(M47="住宅",L48&lt;J51),0,ROUND(L57*(L58/L59-1),0))</f>
        <v>#DIV/0!</v>
      </c>
      <c r="O60" s="1894" t="s">
        <v>1041</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1042</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24</v>
      </c>
      <c r="I62" s="1928" t="s">
        <v>1564</v>
      </c>
      <c r="J62" s="1929" t="s">
        <v>1565</v>
      </c>
      <c r="K62" s="1929" t="s">
        <v>1566</v>
      </c>
      <c r="L62" s="1929" t="s">
        <v>1567</v>
      </c>
      <c r="M62" s="1930" t="s">
        <v>1568</v>
      </c>
      <c r="O62" s="1884" t="s">
        <v>1043</v>
      </c>
      <c r="P62" s="1885" t="s">
        <v>1569</v>
      </c>
      <c r="Q62" s="1886" t="e">
        <f ca="1">Q56+Q57</f>
        <v>#DIV/0!</v>
      </c>
      <c r="R62" s="1886" t="s">
        <v>1044</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1037</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1038</v>
      </c>
      <c r="P66" s="1885" t="s">
        <v>1552</v>
      </c>
      <c r="Q66" s="1886" t="e">
        <f ca="1">L60</f>
        <v>#DIV/0!</v>
      </c>
      <c r="R66" s="1886" t="s">
        <v>1575</v>
      </c>
    </row>
    <row r="67" spans="1:18" s="1842" customFormat="1" ht="16.5" thickBot="1">
      <c r="A67" s="1176" t="s">
        <v>1028</v>
      </c>
      <c r="B67" s="1186" t="s">
        <v>1457</v>
      </c>
      <c r="C67" s="361">
        <f ca="1">C48-C58</f>
        <v>0</v>
      </c>
      <c r="D67" s="1182" t="s">
        <v>1458</v>
      </c>
      <c r="E67" s="1187"/>
      <c r="F67" s="1188"/>
      <c r="O67" s="1894" t="s">
        <v>1039</v>
      </c>
      <c r="P67" s="1885" t="s">
        <v>1556</v>
      </c>
      <c r="Q67" s="1932">
        <f ca="1">L51</f>
        <v>0</v>
      </c>
      <c r="R67" s="1886" t="s">
        <v>1576</v>
      </c>
    </row>
    <row r="68" spans="1:18" s="1842" customFormat="1" ht="16.5" thickBot="1">
      <c r="A68" s="1166" t="s">
        <v>1029</v>
      </c>
      <c r="B68" s="1167" t="s">
        <v>1479</v>
      </c>
      <c r="C68" s="346" t="e">
        <f ca="1">ROUND(C67*(1-((1+F70)/(1+F68))^F69)/(F68-F70),0)</f>
        <v>#DIV/0!</v>
      </c>
      <c r="D68" s="1184" t="s">
        <v>1463</v>
      </c>
      <c r="E68" s="1169" t="s">
        <v>1464</v>
      </c>
      <c r="F68" s="357">
        <f ca="1">F40</f>
        <v>0</v>
      </c>
      <c r="O68" s="1894" t="s">
        <v>1040</v>
      </c>
      <c r="P68" s="1933" t="s">
        <v>1577</v>
      </c>
      <c r="Q68" s="1886">
        <f ca="1">ROUND(Q69-Q70*Q71,0)</f>
        <v>0</v>
      </c>
      <c r="R68" s="1886" t="s">
        <v>1048</v>
      </c>
    </row>
    <row r="69" spans="1:18" s="1842" customFormat="1" ht="13.5" thickBot="1">
      <c r="A69" s="1170"/>
      <c r="B69" s="1171"/>
      <c r="C69" s="351"/>
      <c r="D69" s="1189" t="s">
        <v>1467</v>
      </c>
      <c r="E69" s="1169" t="s">
        <v>1468</v>
      </c>
      <c r="F69" s="379">
        <f ca="1">F41</f>
        <v>0</v>
      </c>
      <c r="O69" s="1894" t="s">
        <v>1045</v>
      </c>
      <c r="P69" s="1933" t="s">
        <v>1578</v>
      </c>
      <c r="Q69" s="1886">
        <f ca="1">C39</f>
        <v>0</v>
      </c>
      <c r="R69" s="1886" t="s">
        <v>1523</v>
      </c>
    </row>
    <row r="70" spans="1:18" s="1842" customFormat="1" ht="13.5" thickBot="1">
      <c r="A70" s="1173"/>
      <c r="B70" s="1174"/>
      <c r="C70" s="355"/>
      <c r="D70" s="1185"/>
      <c r="E70" s="1169" t="s">
        <v>1471</v>
      </c>
      <c r="F70" s="1275">
        <f ca="1">F42</f>
        <v>0</v>
      </c>
      <c r="O70" s="1894" t="s">
        <v>1046</v>
      </c>
      <c r="P70" s="1933" t="s">
        <v>1579</v>
      </c>
      <c r="Q70" s="1886">
        <f ca="1">C13</f>
        <v>0</v>
      </c>
      <c r="R70" s="1886" t="s">
        <v>1523</v>
      </c>
    </row>
    <row r="71" spans="1:18" s="1842" customFormat="1" ht="13.5" thickBot="1">
      <c r="A71" s="1190" t="s">
        <v>1030</v>
      </c>
      <c r="B71" s="1191" t="s">
        <v>1481</v>
      </c>
      <c r="C71" s="382" t="e">
        <f ca="1">ROUND(C68/F71,0)</f>
        <v>#DIV/0!</v>
      </c>
      <c r="D71" s="1192" t="s">
        <v>1482</v>
      </c>
      <c r="E71" s="1193" t="s">
        <v>1483</v>
      </c>
      <c r="F71" s="385">
        <f ca="1">F43</f>
        <v>0</v>
      </c>
      <c r="O71" s="1894" t="s">
        <v>1047</v>
      </c>
      <c r="P71" s="1933" t="s">
        <v>1580</v>
      </c>
      <c r="Q71" s="1897">
        <f ca="1">C76</f>
        <v>0</v>
      </c>
      <c r="R71" s="1886"/>
    </row>
    <row r="72" spans="1:18" s="1842" customFormat="1" ht="13.5" thickBot="1">
      <c r="B72" s="796"/>
      <c r="C72" s="796"/>
      <c r="O72" s="1894" t="s">
        <v>1041</v>
      </c>
      <c r="P72" s="1885" t="s">
        <v>1558</v>
      </c>
      <c r="Q72" s="1897">
        <f>L52</f>
        <v>0</v>
      </c>
      <c r="R72" s="1886"/>
    </row>
    <row r="73" spans="1:18" ht="16.5" thickBot="1">
      <c r="A73" s="1842"/>
      <c r="B73" s="796"/>
      <c r="C73" s="796"/>
      <c r="D73" s="1842"/>
      <c r="E73" s="1842"/>
      <c r="F73" s="1842"/>
      <c r="O73" s="1894" t="s">
        <v>1042</v>
      </c>
      <c r="P73" s="1885" t="s">
        <v>1561</v>
      </c>
      <c r="Q73" s="1886" t="e">
        <f ca="1">L58</f>
        <v>#DIV/0!</v>
      </c>
      <c r="R73" s="1886" t="s">
        <v>1562</v>
      </c>
    </row>
    <row r="74" spans="1:18" ht="13.5" thickBot="1">
      <c r="A74" s="1842"/>
      <c r="B74" s="317" t="s">
        <v>1581</v>
      </c>
      <c r="C74" s="1935"/>
      <c r="D74" s="1842"/>
      <c r="E74" s="1842"/>
      <c r="F74" s="1842"/>
      <c r="O74" s="1894" t="s">
        <v>1049</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1043</v>
      </c>
      <c r="P75" s="1885" t="s">
        <v>1543</v>
      </c>
      <c r="Q75" s="1886" t="e">
        <f ca="1">Q65+Q66</f>
        <v>#DIV/0!</v>
      </c>
      <c r="R75" s="1886" t="s">
        <v>1044</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7" sqref="F7"/>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2523</v>
      </c>
      <c r="B1" s="2561"/>
      <c r="C1" s="2561"/>
      <c r="D1" s="2561"/>
      <c r="E1" s="2562"/>
    </row>
    <row r="2" spans="1:6" ht="15.75">
      <c r="A2" s="2563" t="s">
        <v>2324</v>
      </c>
      <c r="B2" s="2564">
        <f ca="1">SUMIF(B6:B13,"&lt;&gt;#ref!",B6:B13)</f>
        <v>15540</v>
      </c>
      <c r="C2" s="2565" t="s">
        <v>2516</v>
      </c>
      <c r="D2" s="2566" t="s">
        <v>2517</v>
      </c>
      <c r="E2" s="2567">
        <f>SUM(E6:E13)</f>
        <v>5028.579999999999</v>
      </c>
    </row>
    <row r="3" spans="1:6" ht="15.75">
      <c r="A3" s="2563" t="s">
        <v>1390</v>
      </c>
      <c r="B3" s="2564">
        <f ca="1">ROUND(B2*10000/E2,0)</f>
        <v>30903</v>
      </c>
      <c r="C3" s="2565" t="s">
        <v>2524</v>
      </c>
      <c r="D3" s="2568"/>
      <c r="E3" s="2569"/>
    </row>
    <row r="4" spans="1:6" ht="15.75">
      <c r="A4" s="2570"/>
      <c r="B4" s="2568"/>
      <c r="C4" s="2568"/>
      <c r="D4" s="2568"/>
      <c r="E4" s="2569"/>
    </row>
    <row r="5" spans="1:6" ht="15">
      <c r="A5" s="2571" t="s">
        <v>2518</v>
      </c>
      <c r="B5" s="3183" t="s">
        <v>2519</v>
      </c>
      <c r="C5" s="3183"/>
      <c r="D5" s="2572"/>
      <c r="E5" s="2573" t="s">
        <v>2520</v>
      </c>
      <c r="F5" s="2574" t="s">
        <v>2521</v>
      </c>
    </row>
    <row r="6" spans="1:6">
      <c r="A6" s="2575" t="str">
        <f>'数据-取费表'!AN6</f>
        <v>收益法</v>
      </c>
      <c r="B6" s="2574">
        <f ca="1">IF(F6="是",'数据-取费表'!AO6,0)</f>
        <v>15540</v>
      </c>
      <c r="C6" s="2565" t="s">
        <v>2516</v>
      </c>
      <c r="D6" s="2568"/>
      <c r="E6" s="2576">
        <f>IF(OR(A6=0,F6="否"),0,'数据-取费表'!K6+'数据-取费表'!S6)</f>
        <v>5028.579999999999</v>
      </c>
      <c r="F6" s="2577" t="s">
        <v>2522</v>
      </c>
    </row>
    <row r="7" spans="1:6">
      <c r="A7" s="2575">
        <f>'数据-取费表'!AN7</f>
        <v>0</v>
      </c>
      <c r="B7" s="2574" t="e">
        <f ca="1">IF(F7="是",'数据-取费表'!AO7,0)</f>
        <v>#REF!</v>
      </c>
      <c r="C7" s="2565" t="s">
        <v>2516</v>
      </c>
      <c r="D7" s="2568"/>
      <c r="E7" s="2576">
        <f>IF(OR(A7=0,F7="否"),0,'数据-取费表'!K7+'数据-取费表'!S7)</f>
        <v>0</v>
      </c>
      <c r="F7" s="2577" t="s">
        <v>2522</v>
      </c>
    </row>
    <row r="8" spans="1:6">
      <c r="A8" s="2575">
        <f>'数据-取费表'!AN8</f>
        <v>0</v>
      </c>
      <c r="B8" s="2574" t="e">
        <f ca="1">IF(F8="是",'数据-取费表'!AO8,0)</f>
        <v>#REF!</v>
      </c>
      <c r="C8" s="2565" t="s">
        <v>2516</v>
      </c>
      <c r="D8" s="2568"/>
      <c r="E8" s="2576">
        <f>IF(OR(A8=0,F8="否"),0,'数据-取费表'!K8+'数据-取费表'!S8)</f>
        <v>0</v>
      </c>
      <c r="F8" s="2577" t="s">
        <v>2522</v>
      </c>
    </row>
    <row r="9" spans="1:6">
      <c r="A9" s="2575">
        <f>'数据-取费表'!AN9</f>
        <v>0</v>
      </c>
      <c r="B9" s="2574" t="e">
        <f ca="1">IF(F9="是",'数据-取费表'!AO9,0)</f>
        <v>#REF!</v>
      </c>
      <c r="C9" s="2565" t="s">
        <v>2516</v>
      </c>
      <c r="D9" s="2568"/>
      <c r="E9" s="2576">
        <f>IF(OR(A9=0,F9="否"),0,'数据-取费表'!K9+'数据-取费表'!S9)</f>
        <v>0</v>
      </c>
      <c r="F9" s="2577" t="s">
        <v>2522</v>
      </c>
    </row>
    <row r="10" spans="1:6">
      <c r="A10" s="2575">
        <f>'数据-取费表'!AN10</f>
        <v>0</v>
      </c>
      <c r="B10" s="2574" t="e">
        <f ca="1">IF(F10="是",'数据-取费表'!AO10,0)</f>
        <v>#REF!</v>
      </c>
      <c r="C10" s="2565" t="s">
        <v>2516</v>
      </c>
      <c r="D10" s="2568"/>
      <c r="E10" s="2576">
        <f>IF(OR(A10=0,F10="否"),0,'数据-取费表'!K10+'数据-取费表'!S10)</f>
        <v>0</v>
      </c>
      <c r="F10" s="2577" t="s">
        <v>2522</v>
      </c>
    </row>
    <row r="11" spans="1:6">
      <c r="A11" s="2575">
        <f>'数据-取费表'!AN11</f>
        <v>0</v>
      </c>
      <c r="B11" s="2574" t="e">
        <f ca="1">IF(F11="是",'数据-取费表'!AO11,0)</f>
        <v>#REF!</v>
      </c>
      <c r="C11" s="2565" t="s">
        <v>2516</v>
      </c>
      <c r="D11" s="2568"/>
      <c r="E11" s="2576">
        <f>IF(OR(A11=0,F11="否"),0,'数据-取费表'!K11+'数据-取费表'!S11)</f>
        <v>0</v>
      </c>
      <c r="F11" s="2577" t="s">
        <v>2522</v>
      </c>
    </row>
    <row r="12" spans="1:6">
      <c r="A12" s="2575">
        <f>'数据-取费表'!AN12</f>
        <v>0</v>
      </c>
      <c r="B12" s="2574" t="e">
        <f ca="1">IF(F12="是",'数据-取费表'!AO12,0)</f>
        <v>#REF!</v>
      </c>
      <c r="C12" s="2565" t="s">
        <v>2516</v>
      </c>
      <c r="D12" s="2568"/>
      <c r="E12" s="2576">
        <f>IF(OR(A12=0,F12="否"),0,'数据-取费表'!K12+'数据-取费表'!S12)</f>
        <v>0</v>
      </c>
      <c r="F12" s="2577" t="s">
        <v>2522</v>
      </c>
    </row>
    <row r="13" spans="1:6" ht="15" thickBot="1">
      <c r="A13" s="2578">
        <f>'数据-取费表'!AN13</f>
        <v>0</v>
      </c>
      <c r="B13" s="2574" t="e">
        <f ca="1">IF(F13="是",'数据-取费表'!AO13,0)</f>
        <v>#REF!</v>
      </c>
      <c r="C13" s="2579" t="s">
        <v>2516</v>
      </c>
      <c r="D13" s="2580"/>
      <c r="E13" s="2576">
        <f>IF(OR(A13=0,F13="否"),0,'数据-取费表'!K13+'数据-取费表'!S13)</f>
        <v>0</v>
      </c>
      <c r="F13" s="2577"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 sqref="F7"/>
    </sheetView>
  </sheetViews>
  <sheetFormatPr defaultRowHeight="13.5"/>
  <cols>
    <col min="1" max="1" width="10.5" customWidth="1"/>
    <col min="2" max="2" width="12.875" customWidth="1"/>
    <col min="3" max="3" width="8.75" customWidth="1"/>
  </cols>
  <sheetData>
    <row r="1" spans="1:9" ht="14.25">
      <c r="A1" s="3200" t="s">
        <v>1073</v>
      </c>
      <c r="B1" s="3201"/>
      <c r="C1" s="3202"/>
      <c r="D1" s="3203">
        <f>SUM(I10,I15,I20,I21,I23)</f>
        <v>0</v>
      </c>
      <c r="E1" s="3203"/>
      <c r="F1" s="3203"/>
      <c r="G1" s="3203"/>
      <c r="H1" s="3203"/>
      <c r="I1" s="3204"/>
    </row>
    <row r="2" spans="1:9">
      <c r="A2" s="3190" t="s">
        <v>1074</v>
      </c>
      <c r="B2" s="3191" t="s">
        <v>1075</v>
      </c>
      <c r="C2" s="3191"/>
      <c r="D2" s="1301" t="s">
        <v>1076</v>
      </c>
      <c r="E2" s="1301" t="s">
        <v>1077</v>
      </c>
      <c r="F2" s="1301" t="s">
        <v>1078</v>
      </c>
      <c r="G2" s="1301" t="s">
        <v>1079</v>
      </c>
      <c r="H2" s="1301" t="s">
        <v>1080</v>
      </c>
      <c r="I2" s="1302" t="s">
        <v>1081</v>
      </c>
    </row>
    <row r="3" spans="1:9">
      <c r="A3" s="3190"/>
      <c r="B3" s="3191" t="s">
        <v>1082</v>
      </c>
      <c r="C3" s="3191"/>
      <c r="D3" s="1303"/>
      <c r="E3" s="1301"/>
      <c r="F3" s="1304"/>
      <c r="G3" s="1304"/>
      <c r="H3" s="1305"/>
      <c r="I3" s="1306">
        <f>ROUND(D3*E3*F3*G3*H3/10000,0)</f>
        <v>0</v>
      </c>
    </row>
    <row r="4" spans="1:9">
      <c r="A4" s="3190"/>
      <c r="B4" s="3191" t="s">
        <v>1083</v>
      </c>
      <c r="C4" s="3191"/>
      <c r="D4" s="1303"/>
      <c r="E4" s="1301"/>
      <c r="F4" s="1304"/>
      <c r="G4" s="1304"/>
      <c r="H4" s="1305"/>
      <c r="I4" s="1306">
        <f t="shared" ref="I4:I9" si="0">ROUND(D4*E4*F4*G4*H4/10000,0)</f>
        <v>0</v>
      </c>
    </row>
    <row r="5" spans="1:9">
      <c r="A5" s="3190"/>
      <c r="B5" s="3191" t="s">
        <v>1084</v>
      </c>
      <c r="C5" s="3191"/>
      <c r="D5" s="1303"/>
      <c r="E5" s="1301"/>
      <c r="F5" s="1304"/>
      <c r="G5" s="1304"/>
      <c r="H5" s="1305"/>
      <c r="I5" s="1306">
        <f t="shared" si="0"/>
        <v>0</v>
      </c>
    </row>
    <row r="6" spans="1:9">
      <c r="A6" s="3190"/>
      <c r="B6" s="3191" t="s">
        <v>1085</v>
      </c>
      <c r="C6" s="3191"/>
      <c r="D6" s="1303"/>
      <c r="E6" s="1301"/>
      <c r="F6" s="1304"/>
      <c r="G6" s="1304"/>
      <c r="H6" s="1305"/>
      <c r="I6" s="1306">
        <f t="shared" si="0"/>
        <v>0</v>
      </c>
    </row>
    <row r="7" spans="1:9">
      <c r="A7" s="3190"/>
      <c r="B7" s="3191" t="s">
        <v>1086</v>
      </c>
      <c r="C7" s="3191"/>
      <c r="D7" s="1303"/>
      <c r="E7" s="1301"/>
      <c r="F7" s="1304"/>
      <c r="G7" s="1304"/>
      <c r="H7" s="1305"/>
      <c r="I7" s="1306">
        <f t="shared" si="0"/>
        <v>0</v>
      </c>
    </row>
    <row r="8" spans="1:9">
      <c r="A8" s="3190"/>
      <c r="B8" s="3191" t="s">
        <v>1087</v>
      </c>
      <c r="C8" s="3191"/>
      <c r="D8" s="1303"/>
      <c r="E8" s="1301"/>
      <c r="F8" s="1304"/>
      <c r="G8" s="1304"/>
      <c r="H8" s="1305"/>
      <c r="I8" s="1306">
        <f t="shared" si="0"/>
        <v>0</v>
      </c>
    </row>
    <row r="9" spans="1:9">
      <c r="A9" s="3190"/>
      <c r="B9" s="3191" t="s">
        <v>1088</v>
      </c>
      <c r="C9" s="3191"/>
      <c r="D9" s="1303"/>
      <c r="E9" s="1301"/>
      <c r="F9" s="1304"/>
      <c r="G9" s="1304"/>
      <c r="H9" s="1305"/>
      <c r="I9" s="1306">
        <f t="shared" si="0"/>
        <v>0</v>
      </c>
    </row>
    <row r="10" spans="1:9">
      <c r="A10" s="3190"/>
      <c r="B10" s="3192" t="s">
        <v>1089</v>
      </c>
      <c r="C10" s="3192"/>
      <c r="D10" s="1307"/>
      <c r="E10" s="1307" t="e">
        <f>ROUND(D1*10000/D10/H9,0)</f>
        <v>#DIV/0!</v>
      </c>
      <c r="F10" s="1308"/>
      <c r="G10" s="1308"/>
      <c r="H10" s="1309"/>
      <c r="I10" s="1310">
        <f>SUM(I3:I9)</f>
        <v>0</v>
      </c>
    </row>
    <row r="11" spans="1:9" ht="14.25">
      <c r="A11" s="3190" t="s">
        <v>1090</v>
      </c>
      <c r="B11" s="3191" t="s">
        <v>1091</v>
      </c>
      <c r="C11" s="3191"/>
      <c r="D11" s="1303" t="s">
        <v>1092</v>
      </c>
      <c r="E11" s="1303" t="s">
        <v>1093</v>
      </c>
      <c r="F11" s="1304" t="s">
        <v>1094</v>
      </c>
      <c r="G11" s="1304" t="s">
        <v>1080</v>
      </c>
      <c r="H11" s="1311" t="s">
        <v>1095</v>
      </c>
      <c r="I11" s="1302" t="s">
        <v>1081</v>
      </c>
    </row>
    <row r="12" spans="1:9">
      <c r="A12" s="3190"/>
      <c r="B12" s="3191" t="s">
        <v>1096</v>
      </c>
      <c r="C12" s="3191"/>
      <c r="D12" s="1303"/>
      <c r="E12" s="1303"/>
      <c r="F12" s="1304"/>
      <c r="G12" s="1305"/>
      <c r="H12" s="1312"/>
      <c r="I12" s="1302">
        <f>ROUND(D12*E12*F12*G12/10000,0)</f>
        <v>0</v>
      </c>
    </row>
    <row r="13" spans="1:9">
      <c r="A13" s="3190"/>
      <c r="B13" s="3191" t="s">
        <v>1097</v>
      </c>
      <c r="C13" s="3191"/>
      <c r="D13" s="1303"/>
      <c r="E13" s="1303"/>
      <c r="F13" s="1304"/>
      <c r="G13" s="1305"/>
      <c r="H13" s="1312"/>
      <c r="I13" s="1302">
        <f>ROUND(D13*E13*F13*G13/10000,0)</f>
        <v>0</v>
      </c>
    </row>
    <row r="14" spans="1:9">
      <c r="A14" s="3190"/>
      <c r="B14" s="3191" t="s">
        <v>1098</v>
      </c>
      <c r="C14" s="3191"/>
      <c r="D14" s="1303"/>
      <c r="E14" s="1303"/>
      <c r="F14" s="1304"/>
      <c r="G14" s="1305"/>
      <c r="H14" s="1312"/>
      <c r="I14" s="1302">
        <f>ROUND(D14*E14*F14*G14/10000,0)</f>
        <v>0</v>
      </c>
    </row>
    <row r="15" spans="1:9">
      <c r="A15" s="3190"/>
      <c r="B15" s="3192" t="s">
        <v>1089</v>
      </c>
      <c r="C15" s="3192"/>
      <c r="D15" s="1307"/>
      <c r="E15" s="1307">
        <f>SUM(E12:E14)</f>
        <v>0</v>
      </c>
      <c r="F15" s="1308"/>
      <c r="G15" s="1305"/>
      <c r="H15" s="1312"/>
      <c r="I15" s="1313">
        <f>SUM(I12:I14)</f>
        <v>0</v>
      </c>
    </row>
    <row r="16" spans="1:9" ht="24">
      <c r="A16" s="3190" t="s">
        <v>1099</v>
      </c>
      <c r="B16" s="3191" t="s">
        <v>1100</v>
      </c>
      <c r="C16" s="3191"/>
      <c r="D16" s="1303" t="s">
        <v>1076</v>
      </c>
      <c r="E16" s="1314" t="s">
        <v>1101</v>
      </c>
      <c r="F16" s="1304" t="s">
        <v>1102</v>
      </c>
      <c r="G16" s="1305" t="s">
        <v>1080</v>
      </c>
      <c r="H16" s="1311" t="s">
        <v>1095</v>
      </c>
      <c r="I16" s="1302" t="s">
        <v>1081</v>
      </c>
    </row>
    <row r="17" spans="1:9" ht="14.25">
      <c r="A17" s="3190"/>
      <c r="B17" s="3191" t="s">
        <v>1103</v>
      </c>
      <c r="C17" s="3191"/>
      <c r="D17" s="1303"/>
      <c r="E17" s="1303"/>
      <c r="F17" s="1304"/>
      <c r="G17" s="1305"/>
      <c r="H17" s="1315"/>
      <c r="I17" s="1316">
        <f>ROUND(D17*E17*F17*G17/10000,0)</f>
        <v>0</v>
      </c>
    </row>
    <row r="18" spans="1:9" ht="14.25">
      <c r="A18" s="3190"/>
      <c r="B18" s="3191" t="s">
        <v>1104</v>
      </c>
      <c r="C18" s="3191"/>
      <c r="D18" s="1303"/>
      <c r="E18" s="1303"/>
      <c r="F18" s="1304"/>
      <c r="G18" s="1305"/>
      <c r="H18" s="1315"/>
      <c r="I18" s="1316">
        <f>ROUND(D18*E18*F18*G18/10000,0)</f>
        <v>0</v>
      </c>
    </row>
    <row r="19" spans="1:9" ht="14.25">
      <c r="A19" s="3190"/>
      <c r="B19" s="3191" t="s">
        <v>1105</v>
      </c>
      <c r="C19" s="3191"/>
      <c r="D19" s="1303"/>
      <c r="E19" s="1303"/>
      <c r="F19" s="1304"/>
      <c r="G19" s="1305"/>
      <c r="H19" s="1315"/>
      <c r="I19" s="1316">
        <f>ROUND(D19*E19*F19*G19/10000,0)</f>
        <v>0</v>
      </c>
    </row>
    <row r="20" spans="1:9">
      <c r="A20" s="3190"/>
      <c r="B20" s="3192" t="s">
        <v>1089</v>
      </c>
      <c r="C20" s="3192"/>
      <c r="D20" s="1307">
        <f>SUM(D17:D19)</f>
        <v>0</v>
      </c>
      <c r="E20" s="1307"/>
      <c r="F20" s="1308"/>
      <c r="G20" s="1305"/>
      <c r="H20" s="1312"/>
      <c r="I20" s="1313">
        <f>SUM(I17:I19)</f>
        <v>0</v>
      </c>
    </row>
    <row r="21" spans="1:9">
      <c r="A21" s="3190" t="s">
        <v>1106</v>
      </c>
      <c r="B21" s="3193"/>
      <c r="C21" s="3193"/>
      <c r="D21" s="3193"/>
      <c r="E21" s="3193"/>
      <c r="F21" s="3193"/>
      <c r="G21" s="3193"/>
      <c r="H21" s="1765">
        <v>0.1</v>
      </c>
      <c r="I21" s="1310">
        <f>ROUND(I10*H21,0)</f>
        <v>0</v>
      </c>
    </row>
    <row r="22" spans="1:9" ht="14.25">
      <c r="A22" s="3194" t="s">
        <v>1107</v>
      </c>
      <c r="B22" s="3195"/>
      <c r="C22" s="3196"/>
      <c r="D22" s="1317" t="s">
        <v>1108</v>
      </c>
      <c r="E22" s="1317" t="s">
        <v>1109</v>
      </c>
      <c r="F22" s="1318" t="s">
        <v>1110</v>
      </c>
      <c r="G22" s="1318" t="s">
        <v>1111</v>
      </c>
      <c r="H22" s="1311" t="s">
        <v>1112</v>
      </c>
      <c r="I22" s="1302" t="s">
        <v>1113</v>
      </c>
    </row>
    <row r="23" spans="1:9" ht="14.25" thickBot="1">
      <c r="A23" s="3197"/>
      <c r="B23" s="3198"/>
      <c r="C23" s="3199"/>
      <c r="D23" s="1319"/>
      <c r="E23" s="1319"/>
      <c r="F23" s="1319"/>
      <c r="G23" s="1320"/>
      <c r="H23" s="1321"/>
      <c r="I23" s="1322">
        <f>ROUND(E23*D23*F23*(1-G23)/10000,0)</f>
        <v>0</v>
      </c>
    </row>
    <row r="26" spans="1:9">
      <c r="A26" s="1323" t="s">
        <v>1114</v>
      </c>
      <c r="B26" s="1323"/>
      <c r="C26" s="1323"/>
      <c r="D26" s="1323"/>
      <c r="E26" s="3187">
        <f>C27-C30-C31-C32</f>
        <v>0</v>
      </c>
      <c r="F26" s="3187"/>
      <c r="G26" s="3187"/>
      <c r="H26" s="1737" t="s">
        <v>1336</v>
      </c>
    </row>
    <row r="27" spans="1:9">
      <c r="A27" s="1324">
        <v>1</v>
      </c>
      <c r="B27" s="1325" t="s">
        <v>1115</v>
      </c>
      <c r="C27" s="1325">
        <f>C28+C29</f>
        <v>0</v>
      </c>
      <c r="D27" s="1325"/>
      <c r="E27" s="3188"/>
      <c r="F27" s="3188"/>
      <c r="G27" s="3188"/>
    </row>
    <row r="28" spans="1:9">
      <c r="A28" s="1326" t="s">
        <v>1116</v>
      </c>
      <c r="B28" s="1325" t="s">
        <v>1117</v>
      </c>
      <c r="C28" s="1325"/>
      <c r="D28" s="1325"/>
      <c r="E28" s="3188"/>
      <c r="F28" s="3188"/>
      <c r="G28" s="3188"/>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89"/>
      <c r="F32" s="3189"/>
      <c r="G32" s="3189"/>
    </row>
    <row r="33" spans="1:7" hidden="1">
      <c r="A33" s="3184" t="s">
        <v>1126</v>
      </c>
      <c r="B33" s="3185"/>
      <c r="C33" s="3185"/>
      <c r="D33" s="3186"/>
      <c r="E33" s="3187"/>
      <c r="F33" s="3187"/>
      <c r="G33" s="3187"/>
    </row>
    <row r="34" spans="1:7" hidden="1">
      <c r="A34" s="1328">
        <v>1</v>
      </c>
      <c r="B34" s="1325" t="s">
        <v>1127</v>
      </c>
      <c r="C34" s="1325"/>
      <c r="D34" s="1325"/>
      <c r="E34" s="3188"/>
      <c r="F34" s="3188"/>
      <c r="G34" s="3188"/>
    </row>
    <row r="35" spans="1:7" hidden="1">
      <c r="A35" s="1328">
        <v>2</v>
      </c>
      <c r="B35" s="1325" t="s">
        <v>1128</v>
      </c>
      <c r="C35" s="1325"/>
      <c r="D35" s="1325"/>
      <c r="E35" s="3188"/>
      <c r="F35" s="3188"/>
      <c r="G35" s="3188"/>
    </row>
    <row r="36" spans="1:7" hidden="1">
      <c r="A36" s="1328">
        <v>3</v>
      </c>
      <c r="B36" s="1325" t="s">
        <v>1129</v>
      </c>
      <c r="C36" s="1325"/>
      <c r="D36" s="1325"/>
      <c r="E36" s="3188"/>
      <c r="F36" s="3188"/>
      <c r="G36" s="3188"/>
    </row>
    <row r="37" spans="1:7" hidden="1">
      <c r="A37" s="1328">
        <v>4</v>
      </c>
      <c r="B37" s="1325" t="s">
        <v>1130</v>
      </c>
      <c r="C37" s="1325"/>
      <c r="D37" s="1325"/>
      <c r="E37" s="3188"/>
      <c r="F37" s="3188"/>
      <c r="G37" s="3188"/>
    </row>
    <row r="38" spans="1:7" hidden="1">
      <c r="A38" s="3184" t="s">
        <v>1131</v>
      </c>
      <c r="B38" s="3185"/>
      <c r="C38" s="3185"/>
      <c r="D38" s="3186"/>
      <c r="E38" s="3187"/>
      <c r="F38" s="3187"/>
      <c r="G38" s="31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2526</v>
      </c>
      <c r="C1" s="1634" t="s">
        <v>2527</v>
      </c>
      <c r="D1" s="1621"/>
      <c r="E1" s="2582"/>
      <c r="F1" s="2583" t="s">
        <v>2528</v>
      </c>
      <c r="G1" s="1631" t="s">
        <v>2529</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5"/>
      <c r="D2" s="1365" t="e">
        <f ca="1">SUMIF(INDIRECT("'"&amp;F2&amp;"'"&amp;"!A:A"),"承租人权益价值",INDIRECT("'"&amp;F2&amp;"'"&amp;"!c:c"))</f>
        <v>#REF!</v>
      </c>
      <c r="E2" s="2586" t="s">
        <v>2530</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1390</v>
      </c>
      <c r="B3" s="399" t="e">
        <f ca="1">IF(C2="——",C49,ROUND(B2*10000/D3,0))</f>
        <v>#DIV/0!</v>
      </c>
      <c r="C3" s="400" t="s">
        <v>2531</v>
      </c>
      <c r="D3" s="399">
        <f>IF(D1="",'数据-汇总表'!E3,SUMIF('数据-汇总表'!$C19:$C33,D1,'数据-汇总表'!$E19:$E33))</f>
        <v>5028.579999999999</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2532</v>
      </c>
      <c r="B4" s="402"/>
      <c r="C4" s="3223" t="s">
        <v>2533</v>
      </c>
      <c r="D4" s="3224"/>
      <c r="E4" s="3225" t="s">
        <v>2534</v>
      </c>
      <c r="F4" s="3226"/>
      <c r="G4" s="3223" t="s">
        <v>2535</v>
      </c>
      <c r="H4" s="3224"/>
      <c r="I4" s="3223" t="s">
        <v>2536</v>
      </c>
      <c r="J4" s="3224"/>
      <c r="K4" s="2595" t="s">
        <v>2537</v>
      </c>
      <c r="L4" s="1130"/>
      <c r="M4" s="1131"/>
      <c r="N4" s="1131"/>
      <c r="O4" s="1131"/>
      <c r="P4" s="3227" t="s">
        <v>2538</v>
      </c>
      <c r="Q4" s="3228"/>
      <c r="R4" s="3233" t="s">
        <v>2534</v>
      </c>
      <c r="S4" s="3234"/>
      <c r="T4" s="3233" t="s">
        <v>2535</v>
      </c>
      <c r="U4" s="3234"/>
      <c r="V4" s="3239" t="s">
        <v>2536</v>
      </c>
      <c r="W4" s="3239"/>
      <c r="X4" s="1813"/>
      <c r="Y4" s="3233" t="s">
        <v>2538</v>
      </c>
      <c r="Z4" s="3234"/>
      <c r="AA4" s="3220" t="s">
        <v>2534</v>
      </c>
      <c r="AB4" s="3220" t="s">
        <v>2535</v>
      </c>
      <c r="AC4" s="3220" t="s">
        <v>2536</v>
      </c>
    </row>
    <row r="5" spans="1:29" ht="15">
      <c r="A5" s="404"/>
      <c r="B5" s="405"/>
      <c r="C5" s="3242" t="s">
        <v>2539</v>
      </c>
      <c r="D5" s="3243"/>
      <c r="E5" s="3249" t="s">
        <v>2540</v>
      </c>
      <c r="F5" s="3250"/>
      <c r="G5" s="3242" t="s">
        <v>2541</v>
      </c>
      <c r="H5" s="3243"/>
      <c r="I5" s="3242" t="s">
        <v>2542</v>
      </c>
      <c r="J5" s="3243"/>
      <c r="K5" s="2596"/>
      <c r="L5" s="1130"/>
      <c r="M5" s="1131"/>
      <c r="N5" s="1131"/>
      <c r="O5" s="1131"/>
      <c r="P5" s="3229"/>
      <c r="Q5" s="3230"/>
      <c r="R5" s="3235"/>
      <c r="S5" s="3236"/>
      <c r="T5" s="3235"/>
      <c r="U5" s="3236"/>
      <c r="V5" s="3239"/>
      <c r="W5" s="3239"/>
      <c r="X5" s="1813"/>
      <c r="Y5" s="3235"/>
      <c r="Z5" s="3236"/>
      <c r="AA5" s="3221"/>
      <c r="AB5" s="3221"/>
      <c r="AC5" s="3221"/>
    </row>
    <row r="6" spans="1:29" ht="15.75" thickBot="1">
      <c r="A6" s="406"/>
      <c r="B6" s="407"/>
      <c r="C6" s="3240" t="s">
        <v>2543</v>
      </c>
      <c r="D6" s="3241"/>
      <c r="E6" s="3247" t="s">
        <v>2543</v>
      </c>
      <c r="F6" s="3248"/>
      <c r="G6" s="3240" t="s">
        <v>2543</v>
      </c>
      <c r="H6" s="3241"/>
      <c r="I6" s="3240" t="s">
        <v>2543</v>
      </c>
      <c r="J6" s="3241"/>
      <c r="K6" s="2596" t="s">
        <v>2544</v>
      </c>
      <c r="L6" s="1130"/>
      <c r="M6" s="1131"/>
      <c r="N6" s="1131"/>
      <c r="O6" s="1131"/>
      <c r="P6" s="3231"/>
      <c r="Q6" s="3232"/>
      <c r="R6" s="3235"/>
      <c r="S6" s="3236"/>
      <c r="T6" s="3237"/>
      <c r="U6" s="3238"/>
      <c r="V6" s="3239"/>
      <c r="W6" s="3239"/>
      <c r="X6" s="1813"/>
      <c r="Y6" s="3237"/>
      <c r="Z6" s="3238"/>
      <c r="AA6" s="3222"/>
      <c r="AB6" s="3222"/>
      <c r="AC6" s="3222"/>
    </row>
    <row r="7" spans="1:29" s="117" customFormat="1" ht="15.75" thickBot="1">
      <c r="A7" s="408" t="s">
        <v>2545</v>
      </c>
      <c r="B7" s="409"/>
      <c r="C7" s="410">
        <f>'数据-取费表'!B2</f>
        <v>43774</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244" t="s">
        <v>2546</v>
      </c>
      <c r="Q7" s="3246"/>
      <c r="R7" s="770" t="s">
        <v>23</v>
      </c>
      <c r="S7" s="771">
        <f t="shared" ref="S7:S15" si="0">F7</f>
        <v>0</v>
      </c>
      <c r="T7" s="770" t="s">
        <v>23</v>
      </c>
      <c r="U7" s="771">
        <f t="shared" ref="U7:U15" si="1">H7</f>
        <v>0</v>
      </c>
      <c r="V7" s="770" t="s">
        <v>23</v>
      </c>
      <c r="W7" s="771">
        <f t="shared" ref="W7:W15" si="2">J7</f>
        <v>0</v>
      </c>
      <c r="X7" s="772"/>
      <c r="Y7" s="3244" t="s">
        <v>2546</v>
      </c>
      <c r="Z7" s="3245"/>
      <c r="AA7" s="773" t="e">
        <f>D7/F7</f>
        <v>#DIV/0!</v>
      </c>
      <c r="AB7" s="773" t="e">
        <f>D7/H7</f>
        <v>#DIV/0!</v>
      </c>
      <c r="AC7" s="773" t="e">
        <f>D7/J7</f>
        <v>#DIV/0!</v>
      </c>
    </row>
    <row r="8" spans="1:29" s="117" customFormat="1" ht="15.75" thickBot="1">
      <c r="A8" s="408" t="s">
        <v>2547</v>
      </c>
      <c r="B8" s="409"/>
      <c r="C8" s="414" t="s">
        <v>2548</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244" t="s">
        <v>2549</v>
      </c>
      <c r="Q8" s="3245"/>
      <c r="R8" s="770" t="s">
        <v>23</v>
      </c>
      <c r="S8" s="771">
        <f t="shared" si="0"/>
        <v>0</v>
      </c>
      <c r="T8" s="770" t="s">
        <v>23</v>
      </c>
      <c r="U8" s="771">
        <f t="shared" si="1"/>
        <v>0</v>
      </c>
      <c r="V8" s="770" t="s">
        <v>23</v>
      </c>
      <c r="W8" s="771">
        <f t="shared" si="2"/>
        <v>0</v>
      </c>
      <c r="X8" s="772"/>
      <c r="Y8" s="3244" t="s">
        <v>2549</v>
      </c>
      <c r="Z8" s="3245"/>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219"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9"/>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9"/>
      <c r="Q11" s="1795" t="str">
        <f t="shared" si="6"/>
        <v>容积率</v>
      </c>
      <c r="R11" s="770" t="s">
        <v>21</v>
      </c>
      <c r="S11" s="771" t="e">
        <f t="shared" si="0"/>
        <v>#N/A</v>
      </c>
      <c r="T11" s="770" t="s">
        <v>21</v>
      </c>
      <c r="U11" s="771" t="e">
        <f t="shared" si="1"/>
        <v>#N/A</v>
      </c>
      <c r="V11" s="770" t="s">
        <v>21</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219"/>
      <c r="Q12" s="1795">
        <f t="shared" si="6"/>
        <v>111</v>
      </c>
      <c r="R12" s="770" t="s">
        <v>21</v>
      </c>
      <c r="S12" s="771">
        <f t="shared" si="0"/>
        <v>100</v>
      </c>
      <c r="T12" s="770" t="s">
        <v>21</v>
      </c>
      <c r="U12" s="771">
        <f t="shared" si="1"/>
        <v>100</v>
      </c>
      <c r="V12" s="770" t="s">
        <v>21</v>
      </c>
      <c r="W12" s="771">
        <f t="shared" si="2"/>
        <v>100</v>
      </c>
      <c r="X12" s="772"/>
      <c r="Y12" s="3010"/>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219"/>
      <c r="Q13" s="1795">
        <f t="shared" si="6"/>
        <v>111</v>
      </c>
      <c r="R13" s="770" t="s">
        <v>21</v>
      </c>
      <c r="S13" s="771">
        <f t="shared" si="0"/>
        <v>100</v>
      </c>
      <c r="T13" s="770" t="s">
        <v>21</v>
      </c>
      <c r="U13" s="771">
        <f t="shared" si="1"/>
        <v>100</v>
      </c>
      <c r="V13" s="770" t="s">
        <v>21</v>
      </c>
      <c r="W13" s="771">
        <f t="shared" si="2"/>
        <v>100</v>
      </c>
      <c r="X13" s="772"/>
      <c r="Y13" s="3010"/>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219"/>
      <c r="Q14" s="1795">
        <f t="shared" si="6"/>
        <v>111</v>
      </c>
      <c r="R14" s="770" t="s">
        <v>21</v>
      </c>
      <c r="S14" s="771">
        <f t="shared" si="0"/>
        <v>100</v>
      </c>
      <c r="T14" s="770" t="s">
        <v>21</v>
      </c>
      <c r="U14" s="771">
        <f t="shared" si="1"/>
        <v>100</v>
      </c>
      <c r="V14" s="770" t="s">
        <v>21</v>
      </c>
      <c r="W14" s="771">
        <f t="shared" si="2"/>
        <v>100</v>
      </c>
      <c r="X14" s="772"/>
      <c r="Y14" s="3010"/>
      <c r="Z14" s="55">
        <f t="shared" si="7"/>
        <v>111</v>
      </c>
      <c r="AA14" s="773">
        <f t="shared" si="3"/>
        <v>1</v>
      </c>
      <c r="AB14" s="773">
        <f t="shared" si="4"/>
        <v>1</v>
      </c>
      <c r="AC14" s="773">
        <f t="shared" si="5"/>
        <v>1</v>
      </c>
    </row>
    <row r="15" spans="1:29" ht="99.75">
      <c r="A15" s="440" t="s">
        <v>2556</v>
      </c>
      <c r="B15" s="69" t="s">
        <v>2083</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7" t="s">
        <v>2557</v>
      </c>
      <c r="Q15" s="1810" t="str">
        <f t="shared" si="6"/>
        <v>居住社区成熟度</v>
      </c>
      <c r="R15" s="774" t="s">
        <v>21</v>
      </c>
      <c r="S15" s="775">
        <f t="shared" si="0"/>
        <v>100</v>
      </c>
      <c r="T15" s="774" t="s">
        <v>21</v>
      </c>
      <c r="U15" s="775">
        <f t="shared" si="1"/>
        <v>100</v>
      </c>
      <c r="V15" s="774" t="s">
        <v>21</v>
      </c>
      <c r="W15" s="775">
        <f t="shared" si="2"/>
        <v>100</v>
      </c>
      <c r="X15" s="1813"/>
      <c r="Y15" s="3210" t="s">
        <v>2557</v>
      </c>
      <c r="Z15" s="1814" t="str">
        <f t="shared" si="7"/>
        <v>居住社区成熟度</v>
      </c>
      <c r="AA15" s="1811">
        <f t="shared" si="3"/>
        <v>1</v>
      </c>
      <c r="AB15" s="1811">
        <f t="shared" si="4"/>
        <v>1</v>
      </c>
      <c r="AC15" s="1811">
        <f t="shared" si="5"/>
        <v>1</v>
      </c>
    </row>
    <row r="16" spans="1:29" ht="15">
      <c r="A16" s="428"/>
      <c r="B16" s="446"/>
      <c r="C16" s="447"/>
      <c r="D16" s="448"/>
      <c r="E16" s="2603"/>
      <c r="F16" s="448"/>
      <c r="G16" s="2604"/>
      <c r="H16" s="450"/>
      <c r="I16" s="2604"/>
      <c r="J16" s="448"/>
      <c r="K16" s="2605"/>
      <c r="L16" s="1140"/>
      <c r="M16" s="1131"/>
      <c r="N16" s="1131"/>
      <c r="O16" s="1131"/>
      <c r="P16" s="3218"/>
      <c r="Q16" s="1810"/>
      <c r="R16" s="774"/>
      <c r="S16" s="775"/>
      <c r="T16" s="774"/>
      <c r="U16" s="775"/>
      <c r="V16" s="774"/>
      <c r="W16" s="775"/>
      <c r="X16" s="1813"/>
      <c r="Y16" s="3211"/>
      <c r="Z16" s="1814"/>
      <c r="AA16" s="1811">
        <v>1</v>
      </c>
      <c r="AB16" s="1811">
        <v>1</v>
      </c>
      <c r="AC16" s="1811">
        <v>1</v>
      </c>
    </row>
    <row r="17" spans="1:29" ht="15">
      <c r="A17" s="428"/>
      <c r="B17" s="451" t="s">
        <v>2094</v>
      </c>
      <c r="C17" s="2606"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8"/>
      <c r="Q17" s="1810" t="str">
        <f>B17</f>
        <v>交通便捷度</v>
      </c>
      <c r="R17" s="774" t="s">
        <v>21</v>
      </c>
      <c r="S17" s="775">
        <f>F17</f>
        <v>100</v>
      </c>
      <c r="T17" s="774" t="s">
        <v>21</v>
      </c>
      <c r="U17" s="775">
        <f>H17</f>
        <v>100</v>
      </c>
      <c r="V17" s="774" t="s">
        <v>21</v>
      </c>
      <c r="W17" s="775">
        <f>J17</f>
        <v>100</v>
      </c>
      <c r="X17" s="1813"/>
      <c r="Y17" s="3211"/>
      <c r="Z17" s="1814" t="str">
        <f>Q17</f>
        <v>交通便捷度</v>
      </c>
      <c r="AA17" s="1811">
        <f t="shared" si="3"/>
        <v>1</v>
      </c>
      <c r="AB17" s="1811">
        <f t="shared" si="4"/>
        <v>1</v>
      </c>
      <c r="AC17" s="1811">
        <f t="shared" si="5"/>
        <v>1</v>
      </c>
    </row>
    <row r="18" spans="1:29" ht="15">
      <c r="A18" s="428"/>
      <c r="B18" s="456"/>
      <c r="C18" s="2607"/>
      <c r="D18" s="450"/>
      <c r="E18" s="2608"/>
      <c r="F18" s="450"/>
      <c r="G18" s="2609"/>
      <c r="H18" s="448"/>
      <c r="I18" s="2609"/>
      <c r="J18" s="448"/>
      <c r="K18" s="2605"/>
      <c r="L18" s="1140"/>
      <c r="M18" s="1131"/>
      <c r="N18" s="1131"/>
      <c r="O18" s="1131"/>
      <c r="P18" s="3218"/>
      <c r="Q18" s="1810"/>
      <c r="R18" s="774"/>
      <c r="S18" s="775"/>
      <c r="T18" s="774"/>
      <c r="U18" s="775"/>
      <c r="V18" s="774"/>
      <c r="W18" s="775"/>
      <c r="X18" s="1813"/>
      <c r="Y18" s="3211"/>
      <c r="Z18" s="1814"/>
      <c r="AA18" s="1811">
        <v>1</v>
      </c>
      <c r="AB18" s="1811">
        <v>1</v>
      </c>
      <c r="AC18" s="1811">
        <v>1</v>
      </c>
    </row>
    <row r="19" spans="1:29" ht="15">
      <c r="A19" s="428"/>
      <c r="B19" s="451" t="s">
        <v>2092</v>
      </c>
      <c r="C19" s="2606"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8"/>
      <c r="Q19" s="1810" t="str">
        <f>B19</f>
        <v>公共配套设施</v>
      </c>
      <c r="R19" s="774" t="s">
        <v>21</v>
      </c>
      <c r="S19" s="775">
        <f>F19</f>
        <v>100</v>
      </c>
      <c r="T19" s="774" t="s">
        <v>21</v>
      </c>
      <c r="U19" s="775">
        <f>H19</f>
        <v>100</v>
      </c>
      <c r="V19" s="774" t="s">
        <v>21</v>
      </c>
      <c r="W19" s="775">
        <f>J19</f>
        <v>100</v>
      </c>
      <c r="X19" s="1813"/>
      <c r="Y19" s="3211"/>
      <c r="Z19" s="1814" t="str">
        <f>Q19</f>
        <v>公共配套设施</v>
      </c>
      <c r="AA19" s="1811">
        <f t="shared" si="3"/>
        <v>1</v>
      </c>
      <c r="AB19" s="1811">
        <f t="shared" si="4"/>
        <v>1</v>
      </c>
      <c r="AC19" s="1811">
        <f t="shared" si="5"/>
        <v>1</v>
      </c>
    </row>
    <row r="20" spans="1:29" ht="15">
      <c r="A20" s="428"/>
      <c r="B20" s="456"/>
      <c r="C20" s="447"/>
      <c r="D20" s="448"/>
      <c r="E20" s="2603"/>
      <c r="F20" s="448"/>
      <c r="G20" s="2604"/>
      <c r="H20" s="448"/>
      <c r="I20" s="2604"/>
      <c r="J20" s="448"/>
      <c r="K20" s="2605"/>
      <c r="L20" s="1140"/>
      <c r="M20" s="1131"/>
      <c r="N20" s="1131"/>
      <c r="O20" s="1131"/>
      <c r="P20" s="3218"/>
      <c r="Q20" s="1810"/>
      <c r="R20" s="774"/>
      <c r="S20" s="775"/>
      <c r="T20" s="774"/>
      <c r="U20" s="775"/>
      <c r="V20" s="774"/>
      <c r="W20" s="775"/>
      <c r="X20" s="1813"/>
      <c r="Y20" s="3211"/>
      <c r="Z20" s="1814"/>
      <c r="AA20" s="1811">
        <v>1</v>
      </c>
      <c r="AB20" s="1811">
        <v>1</v>
      </c>
      <c r="AC20" s="1811">
        <v>1</v>
      </c>
    </row>
    <row r="21" spans="1:29" ht="15">
      <c r="A21" s="428"/>
      <c r="B21" s="1384" t="s">
        <v>2095</v>
      </c>
      <c r="C21" s="2606"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8"/>
      <c r="Q21" s="1810" t="str">
        <f>B21</f>
        <v>基础设施水平</v>
      </c>
      <c r="R21" s="774" t="s">
        <v>17</v>
      </c>
      <c r="S21" s="775">
        <f>F21</f>
        <v>100</v>
      </c>
      <c r="T21" s="774" t="s">
        <v>17</v>
      </c>
      <c r="U21" s="775">
        <f>H21</f>
        <v>100</v>
      </c>
      <c r="V21" s="774" t="s">
        <v>17</v>
      </c>
      <c r="W21" s="775">
        <f>J21</f>
        <v>100</v>
      </c>
      <c r="X21" s="1813"/>
      <c r="Y21" s="3211"/>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8"/>
      <c r="G22" s="2610"/>
      <c r="H22" s="448"/>
      <c r="I22" s="447"/>
      <c r="J22" s="448"/>
      <c r="K22" s="2611"/>
      <c r="L22" s="1140"/>
      <c r="M22" s="1131"/>
      <c r="N22" s="1131"/>
      <c r="O22" s="1131"/>
      <c r="P22" s="3218"/>
      <c r="Q22" s="1810"/>
      <c r="R22" s="774"/>
      <c r="S22" s="775"/>
      <c r="T22" s="774"/>
      <c r="U22" s="775"/>
      <c r="V22" s="774"/>
      <c r="W22" s="775"/>
      <c r="X22" s="1813"/>
      <c r="Y22" s="3211"/>
      <c r="Z22" s="1814"/>
      <c r="AA22" s="1811">
        <v>1</v>
      </c>
      <c r="AB22" s="1811">
        <v>1</v>
      </c>
      <c r="AC22" s="1811">
        <v>1</v>
      </c>
    </row>
    <row r="23" spans="1:29" ht="15">
      <c r="A23" s="428"/>
      <c r="B23" s="451" t="s">
        <v>2099</v>
      </c>
      <c r="C23" s="2606"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8"/>
      <c r="Q23" s="1810" t="str">
        <f>B23</f>
        <v>自然及人文环境</v>
      </c>
      <c r="R23" s="774" t="s">
        <v>21</v>
      </c>
      <c r="S23" s="775">
        <f>F23</f>
        <v>100</v>
      </c>
      <c r="T23" s="774" t="s">
        <v>21</v>
      </c>
      <c r="U23" s="775">
        <f>H23</f>
        <v>100</v>
      </c>
      <c r="V23" s="774" t="s">
        <v>21</v>
      </c>
      <c r="W23" s="775">
        <f>J23</f>
        <v>100</v>
      </c>
      <c r="X23" s="1813"/>
      <c r="Y23" s="3211"/>
      <c r="Z23" s="1814" t="str">
        <f>Q23</f>
        <v>自然及人文环境</v>
      </c>
      <c r="AA23" s="1811">
        <f>D23/F23</f>
        <v>1</v>
      </c>
      <c r="AB23" s="1811">
        <f>D23/H23</f>
        <v>1</v>
      </c>
      <c r="AC23" s="1811">
        <f>D23/J23</f>
        <v>1</v>
      </c>
    </row>
    <row r="24" spans="1:29" ht="15">
      <c r="A24" s="428"/>
      <c r="B24" s="456"/>
      <c r="C24" s="447"/>
      <c r="D24" s="448"/>
      <c r="E24" s="2603"/>
      <c r="F24" s="448"/>
      <c r="G24" s="2604"/>
      <c r="H24" s="448"/>
      <c r="I24" s="2604"/>
      <c r="J24" s="448"/>
      <c r="K24" s="2605"/>
      <c r="L24" s="1140"/>
      <c r="M24" s="1131"/>
      <c r="N24" s="1131"/>
      <c r="O24" s="1131"/>
      <c r="P24" s="3218"/>
      <c r="Q24" s="1810"/>
      <c r="R24" s="774"/>
      <c r="S24" s="775"/>
      <c r="T24" s="774"/>
      <c r="U24" s="775"/>
      <c r="V24" s="774"/>
      <c r="W24" s="775"/>
      <c r="X24" s="1813"/>
      <c r="Y24" s="3211"/>
      <c r="Z24" s="1814"/>
      <c r="AA24" s="1811">
        <v>1</v>
      </c>
      <c r="AB24" s="1811">
        <v>1</v>
      </c>
      <c r="AC24" s="1811">
        <v>1</v>
      </c>
    </row>
    <row r="25" spans="1:29" ht="15">
      <c r="A25" s="428"/>
      <c r="B25" s="422" t="s">
        <v>2558</v>
      </c>
      <c r="C25" s="460"/>
      <c r="D25" s="435">
        <v>100</v>
      </c>
      <c r="E25" s="2612"/>
      <c r="F25" s="435">
        <f>SUMIF(86:86,E25,87:87)-SUMIF(86:86,C25,87:87)+100</f>
        <v>100</v>
      </c>
      <c r="G25" s="2613"/>
      <c r="H25" s="435">
        <f>SUMIF(86:86,G25,87:87)-SUMIF(86:86,C25,87:87)+100</f>
        <v>100</v>
      </c>
      <c r="I25" s="2613"/>
      <c r="J25" s="435">
        <f>SUMIF(86:86,I25,87:87)-SUMIF(86:86,C25,87:87)+100</f>
        <v>100</v>
      </c>
      <c r="K25" s="426"/>
      <c r="L25" s="1140"/>
      <c r="M25" s="1131"/>
      <c r="N25" s="1131"/>
      <c r="O25" s="1131"/>
      <c r="P25" s="3218"/>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11"/>
      <c r="Z25" s="1814" t="str">
        <f>Q25</f>
        <v>楼层-1</v>
      </c>
      <c r="AA25" s="1811">
        <f t="shared" ref="AA25:AA46" si="15">D25/F25</f>
        <v>1</v>
      </c>
      <c r="AB25" s="1811">
        <f t="shared" ref="AB25:AB46" si="16">D25/H25</f>
        <v>1</v>
      </c>
      <c r="AC25" s="1811">
        <f t="shared" ref="AC25:AC46" si="17">D25/J25</f>
        <v>1</v>
      </c>
    </row>
    <row r="26" spans="1:29" ht="15">
      <c r="A26" s="428"/>
      <c r="B26" s="422" t="s">
        <v>2559</v>
      </c>
      <c r="C26" s="460"/>
      <c r="D26" s="435">
        <v>100</v>
      </c>
      <c r="E26" s="2612"/>
      <c r="F26" s="435">
        <f>SUMIF(88:88,E26,89:89)-SUMIF(88:88,C26,89:89)+100</f>
        <v>100</v>
      </c>
      <c r="G26" s="2613"/>
      <c r="H26" s="435">
        <f>SUMIF(88:88,G26,89:89)-SUMIF(88:88,C26,89:89)+100</f>
        <v>100</v>
      </c>
      <c r="I26" s="2613"/>
      <c r="J26" s="435">
        <f>SUMIF(88:88,I26,89:89)-SUMIF(88:88,C26,89:89)+100</f>
        <v>100</v>
      </c>
      <c r="K26" s="426"/>
      <c r="L26" s="1140"/>
      <c r="M26" s="1131"/>
      <c r="N26" s="1131"/>
      <c r="O26" s="1131"/>
      <c r="P26" s="3218"/>
      <c r="Q26" s="1810" t="str">
        <f t="shared" si="11"/>
        <v>朝向</v>
      </c>
      <c r="R26" s="774" t="s">
        <v>21</v>
      </c>
      <c r="S26" s="775">
        <f t="shared" si="12"/>
        <v>100</v>
      </c>
      <c r="T26" s="774" t="s">
        <v>21</v>
      </c>
      <c r="U26" s="775">
        <f t="shared" si="13"/>
        <v>100</v>
      </c>
      <c r="V26" s="774" t="s">
        <v>21</v>
      </c>
      <c r="W26" s="775">
        <f t="shared" si="14"/>
        <v>100</v>
      </c>
      <c r="X26" s="1813"/>
      <c r="Y26" s="3211"/>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0"/>
      <c r="L27" s="1132"/>
      <c r="M27" s="1133"/>
      <c r="N27" s="1133"/>
      <c r="O27" s="1133"/>
      <c r="P27" s="3218"/>
      <c r="Q27" s="1795">
        <f t="shared" si="11"/>
        <v>111</v>
      </c>
      <c r="R27" s="770" t="s">
        <v>21</v>
      </c>
      <c r="S27" s="771">
        <f t="shared" si="12"/>
        <v>100</v>
      </c>
      <c r="T27" s="770" t="s">
        <v>21</v>
      </c>
      <c r="U27" s="771">
        <f t="shared" si="13"/>
        <v>100</v>
      </c>
      <c r="V27" s="770" t="s">
        <v>21</v>
      </c>
      <c r="W27" s="771">
        <f t="shared" si="14"/>
        <v>100</v>
      </c>
      <c r="X27" s="772"/>
      <c r="Y27" s="3211"/>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4"/>
      <c r="H28" s="435">
        <f>SUMIF(92:92,G28,93:93)-SUMIF(92:92,C28,93:93)+100</f>
        <v>100</v>
      </c>
      <c r="I28" s="434"/>
      <c r="J28" s="435">
        <f>SUMIF(92:92,I28,93:93)-SUMIF(92:92,C28,93:93)+100</f>
        <v>100</v>
      </c>
      <c r="K28" s="2600"/>
      <c r="L28" s="1140"/>
      <c r="M28" s="1131"/>
      <c r="N28" s="1131"/>
      <c r="O28" s="1131"/>
      <c r="P28" s="3218"/>
      <c r="Q28" s="1810">
        <f t="shared" si="11"/>
        <v>111</v>
      </c>
      <c r="R28" s="774" t="s">
        <v>21</v>
      </c>
      <c r="S28" s="775">
        <f t="shared" si="12"/>
        <v>100</v>
      </c>
      <c r="T28" s="774" t="s">
        <v>21</v>
      </c>
      <c r="U28" s="775">
        <f t="shared" si="13"/>
        <v>100</v>
      </c>
      <c r="V28" s="774" t="s">
        <v>21</v>
      </c>
      <c r="W28" s="775">
        <f t="shared" si="14"/>
        <v>100</v>
      </c>
      <c r="X28" s="1813"/>
      <c r="Y28" s="3211"/>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4"/>
      <c r="H29" s="435">
        <f>SUMIF(94:94,G29,95:95)-SUMIF(94:94,C29,95:95)+100</f>
        <v>100</v>
      </c>
      <c r="I29" s="434"/>
      <c r="J29" s="435">
        <f>SUMIF(94:94,I29,95:95)-SUMIF(94:94,C29,95:95)+100</f>
        <v>100</v>
      </c>
      <c r="K29" s="2600"/>
      <c r="L29" s="1140"/>
      <c r="M29" s="1131"/>
      <c r="N29" s="1131"/>
      <c r="O29" s="1131"/>
      <c r="P29" s="3218"/>
      <c r="Q29" s="1810">
        <f t="shared" si="11"/>
        <v>111</v>
      </c>
      <c r="R29" s="774" t="s">
        <v>21</v>
      </c>
      <c r="S29" s="775">
        <f t="shared" si="12"/>
        <v>100</v>
      </c>
      <c r="T29" s="774" t="s">
        <v>21</v>
      </c>
      <c r="U29" s="775">
        <f t="shared" si="13"/>
        <v>100</v>
      </c>
      <c r="V29" s="774" t="s">
        <v>21</v>
      </c>
      <c r="W29" s="775">
        <f t="shared" si="14"/>
        <v>100</v>
      </c>
      <c r="X29" s="1813"/>
      <c r="Y29" s="3211"/>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4"/>
      <c r="H30" s="435">
        <f>SUMIF(96:96,G30,97:97)-SUMIF(96:96,C30,97:97)+100</f>
        <v>100</v>
      </c>
      <c r="I30" s="434"/>
      <c r="J30" s="435">
        <f>SUMIF(96:96,I30,97:97)-SUMIF(96:96,C30,97:97)+100</f>
        <v>100</v>
      </c>
      <c r="K30" s="2600"/>
      <c r="L30" s="1140"/>
      <c r="M30" s="1131"/>
      <c r="N30" s="1131"/>
      <c r="O30" s="1131"/>
      <c r="P30" s="3218"/>
      <c r="Q30" s="1810">
        <f t="shared" si="11"/>
        <v>111</v>
      </c>
      <c r="R30" s="774" t="s">
        <v>21</v>
      </c>
      <c r="S30" s="775">
        <f t="shared" si="12"/>
        <v>100</v>
      </c>
      <c r="T30" s="774" t="s">
        <v>21</v>
      </c>
      <c r="U30" s="775">
        <f t="shared" si="13"/>
        <v>100</v>
      </c>
      <c r="V30" s="774" t="s">
        <v>21</v>
      </c>
      <c r="W30" s="775">
        <f t="shared" si="14"/>
        <v>100</v>
      </c>
      <c r="X30" s="1813"/>
      <c r="Y30" s="3211"/>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5"/>
      <c r="H31" s="438">
        <f>SUMIF(98:98,G31,99:99)-SUMIF(98:98,C31,99:99)+100</f>
        <v>100</v>
      </c>
      <c r="I31" s="437"/>
      <c r="J31" s="438">
        <f>SUMIF(98:98,I31,99:99)-SUMIF(98:98,C31,99:99)+100</f>
        <v>100</v>
      </c>
      <c r="K31" s="2600"/>
      <c r="L31" s="1140"/>
      <c r="M31" s="1131"/>
      <c r="N31" s="1131"/>
      <c r="O31" s="1131"/>
      <c r="P31" s="3218"/>
      <c r="Q31" s="1810">
        <f t="shared" si="11"/>
        <v>111</v>
      </c>
      <c r="R31" s="774" t="s">
        <v>21</v>
      </c>
      <c r="S31" s="775">
        <f t="shared" si="12"/>
        <v>100</v>
      </c>
      <c r="T31" s="774" t="s">
        <v>21</v>
      </c>
      <c r="U31" s="775">
        <f t="shared" si="13"/>
        <v>100</v>
      </c>
      <c r="V31" s="774" t="s">
        <v>21</v>
      </c>
      <c r="W31" s="775">
        <f t="shared" si="14"/>
        <v>100</v>
      </c>
      <c r="X31" s="1813"/>
      <c r="Y31" s="3211"/>
      <c r="Z31" s="1814">
        <f t="shared" si="18"/>
        <v>111</v>
      </c>
      <c r="AA31" s="1811">
        <f t="shared" si="15"/>
        <v>1</v>
      </c>
      <c r="AB31" s="1811">
        <f t="shared" si="16"/>
        <v>1</v>
      </c>
      <c r="AC31" s="1811">
        <f t="shared" si="17"/>
        <v>1</v>
      </c>
    </row>
    <row r="32" spans="1:29" ht="15">
      <c r="A32" s="440" t="s">
        <v>2560</v>
      </c>
      <c r="B32" s="71" t="s">
        <v>2561</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0"/>
      <c r="M32" s="1131"/>
      <c r="N32" s="1131"/>
      <c r="O32" s="1131"/>
      <c r="P32" s="3212" t="s">
        <v>2562</v>
      </c>
      <c r="Q32" s="1810" t="str">
        <f t="shared" si="11"/>
        <v>建筑类型</v>
      </c>
      <c r="R32" s="774" t="s">
        <v>21</v>
      </c>
      <c r="S32" s="775">
        <f t="shared" si="12"/>
        <v>100</v>
      </c>
      <c r="T32" s="774" t="s">
        <v>21</v>
      </c>
      <c r="U32" s="775">
        <f t="shared" si="13"/>
        <v>100</v>
      </c>
      <c r="V32" s="774" t="s">
        <v>21</v>
      </c>
      <c r="W32" s="775">
        <f t="shared" si="14"/>
        <v>100</v>
      </c>
      <c r="X32" s="1813"/>
      <c r="Y32" s="3215" t="s">
        <v>2562</v>
      </c>
      <c r="Z32" s="1814" t="str">
        <f t="shared" si="18"/>
        <v>建筑类型</v>
      </c>
      <c r="AA32" s="1811">
        <f t="shared" si="15"/>
        <v>1</v>
      </c>
      <c r="AB32" s="1811">
        <f t="shared" si="16"/>
        <v>1</v>
      </c>
      <c r="AC32" s="1811">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8"/>
      <c r="M33" s="1141"/>
      <c r="N33" s="1141"/>
      <c r="O33" s="1141"/>
      <c r="P33" s="3213"/>
      <c r="Q33" s="776" t="str">
        <f t="shared" si="11"/>
        <v>项目建筑规模</v>
      </c>
      <c r="R33" s="777" t="s">
        <v>21</v>
      </c>
      <c r="S33" s="778" t="e">
        <f t="shared" si="12"/>
        <v>#N/A</v>
      </c>
      <c r="T33" s="777" t="s">
        <v>21</v>
      </c>
      <c r="U33" s="778" t="e">
        <f t="shared" si="13"/>
        <v>#N/A</v>
      </c>
      <c r="V33" s="777" t="s">
        <v>21</v>
      </c>
      <c r="W33" s="778" t="e">
        <f t="shared" si="14"/>
        <v>#N/A</v>
      </c>
      <c r="X33" s="779"/>
      <c r="Y33" s="3215"/>
      <c r="Z33" s="780" t="str">
        <f t="shared" si="18"/>
        <v>项目建筑规模</v>
      </c>
      <c r="AA33" s="1811" t="e">
        <f t="shared" si="15"/>
        <v>#N/A</v>
      </c>
      <c r="AB33" s="1811" t="e">
        <f t="shared" si="16"/>
        <v>#N/A</v>
      </c>
      <c r="AC33" s="1811" t="e">
        <f t="shared" si="17"/>
        <v>#N/A</v>
      </c>
    </row>
    <row r="34" spans="1:29" ht="15">
      <c r="A34" s="472"/>
      <c r="B34" s="422" t="s">
        <v>2564</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0"/>
      <c r="M34" s="1131"/>
      <c r="N34" s="1131"/>
      <c r="O34" s="1131"/>
      <c r="P34" s="3213"/>
      <c r="Q34" s="1810" t="str">
        <f t="shared" si="11"/>
        <v>建筑结构</v>
      </c>
      <c r="R34" s="774" t="s">
        <v>21</v>
      </c>
      <c r="S34" s="775">
        <f t="shared" si="12"/>
        <v>100</v>
      </c>
      <c r="T34" s="774" t="s">
        <v>21</v>
      </c>
      <c r="U34" s="775">
        <f t="shared" si="13"/>
        <v>100</v>
      </c>
      <c r="V34" s="774" t="s">
        <v>21</v>
      </c>
      <c r="W34" s="775">
        <f t="shared" si="14"/>
        <v>100</v>
      </c>
      <c r="X34" s="1813"/>
      <c r="Y34" s="3215"/>
      <c r="Z34" s="1814" t="str">
        <f t="shared" si="18"/>
        <v>建筑结构</v>
      </c>
      <c r="AA34" s="1811">
        <f t="shared" si="15"/>
        <v>1</v>
      </c>
      <c r="AB34" s="1811">
        <f t="shared" si="16"/>
        <v>1</v>
      </c>
      <c r="AC34" s="1811">
        <f t="shared" si="17"/>
        <v>1</v>
      </c>
    </row>
    <row r="35" spans="1:29" ht="15">
      <c r="A35" s="472"/>
      <c r="B35" s="422" t="s">
        <v>2565</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0"/>
      <c r="M35" s="1131"/>
      <c r="N35" s="1131"/>
      <c r="O35" s="1131"/>
      <c r="P35" s="3213"/>
      <c r="Q35" s="1810" t="str">
        <f t="shared" si="11"/>
        <v>建筑品质</v>
      </c>
      <c r="R35" s="774" t="s">
        <v>21</v>
      </c>
      <c r="S35" s="775">
        <f t="shared" si="12"/>
        <v>100</v>
      </c>
      <c r="T35" s="774" t="s">
        <v>21</v>
      </c>
      <c r="U35" s="775">
        <f t="shared" si="13"/>
        <v>100</v>
      </c>
      <c r="V35" s="774" t="s">
        <v>21</v>
      </c>
      <c r="W35" s="775">
        <f t="shared" si="14"/>
        <v>100</v>
      </c>
      <c r="X35" s="1813"/>
      <c r="Y35" s="3215"/>
      <c r="Z35" s="1814" t="str">
        <f t="shared" si="18"/>
        <v>建筑品质</v>
      </c>
      <c r="AA35" s="1811">
        <f t="shared" si="15"/>
        <v>1</v>
      </c>
      <c r="AB35" s="1811">
        <f t="shared" si="16"/>
        <v>1</v>
      </c>
      <c r="AC35" s="1811">
        <f t="shared" si="17"/>
        <v>1</v>
      </c>
    </row>
    <row r="36" spans="1:29" ht="15">
      <c r="A36" s="472"/>
      <c r="B36" s="422" t="s">
        <v>2566</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0"/>
      <c r="M36" s="1131"/>
      <c r="N36" s="1131"/>
      <c r="O36" s="1131"/>
      <c r="P36" s="3213"/>
      <c r="Q36" s="1810" t="str">
        <f t="shared" si="11"/>
        <v>公共部分装修</v>
      </c>
      <c r="R36" s="774" t="s">
        <v>21</v>
      </c>
      <c r="S36" s="775">
        <f t="shared" si="12"/>
        <v>100</v>
      </c>
      <c r="T36" s="774" t="s">
        <v>21</v>
      </c>
      <c r="U36" s="775">
        <f t="shared" si="13"/>
        <v>100</v>
      </c>
      <c r="V36" s="774" t="s">
        <v>21</v>
      </c>
      <c r="W36" s="775">
        <f t="shared" si="14"/>
        <v>100</v>
      </c>
      <c r="X36" s="1813"/>
      <c r="Y36" s="3215"/>
      <c r="Z36" s="1814" t="str">
        <f t="shared" si="18"/>
        <v>公共部分装修</v>
      </c>
      <c r="AA36" s="1811">
        <f t="shared" si="15"/>
        <v>1</v>
      </c>
      <c r="AB36" s="1811">
        <f t="shared" si="16"/>
        <v>1</v>
      </c>
      <c r="AC36" s="1811">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3"/>
      <c r="Q37" s="1795" t="str">
        <f t="shared" si="11"/>
        <v>成新度</v>
      </c>
      <c r="R37" s="770" t="s">
        <v>21</v>
      </c>
      <c r="S37" s="771" t="e">
        <f t="shared" si="12"/>
        <v>#N/A</v>
      </c>
      <c r="T37" s="770" t="s">
        <v>21</v>
      </c>
      <c r="U37" s="771" t="e">
        <f t="shared" si="13"/>
        <v>#N/A</v>
      </c>
      <c r="V37" s="770" t="s">
        <v>21</v>
      </c>
      <c r="W37" s="771" t="e">
        <f t="shared" si="14"/>
        <v>#N/A</v>
      </c>
      <c r="X37" s="772"/>
      <c r="Y37" s="3215"/>
      <c r="Z37" s="55" t="str">
        <f t="shared" si="18"/>
        <v>成新度</v>
      </c>
      <c r="AA37" s="773" t="e">
        <f t="shared" si="15"/>
        <v>#N/A</v>
      </c>
      <c r="AB37" s="773" t="e">
        <f t="shared" si="16"/>
        <v>#N/A</v>
      </c>
      <c r="AC37" s="773" t="e">
        <f t="shared" si="17"/>
        <v>#N/A</v>
      </c>
    </row>
    <row r="38" spans="1:29" ht="15">
      <c r="A38" s="472"/>
      <c r="B38" s="422" t="s">
        <v>2568</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0"/>
      <c r="M38" s="1131"/>
      <c r="N38" s="1131"/>
      <c r="O38" s="1131"/>
      <c r="P38" s="3213" t="s">
        <v>2562</v>
      </c>
      <c r="Q38" s="1810" t="str">
        <f t="shared" si="11"/>
        <v>物业管理</v>
      </c>
      <c r="R38" s="774" t="s">
        <v>21</v>
      </c>
      <c r="S38" s="775">
        <f t="shared" si="12"/>
        <v>100</v>
      </c>
      <c r="T38" s="774" t="s">
        <v>21</v>
      </c>
      <c r="U38" s="775">
        <f t="shared" si="13"/>
        <v>100</v>
      </c>
      <c r="V38" s="774" t="s">
        <v>21</v>
      </c>
      <c r="W38" s="775">
        <f t="shared" si="14"/>
        <v>100</v>
      </c>
      <c r="X38" s="1813"/>
      <c r="Y38" s="3215" t="s">
        <v>2562</v>
      </c>
      <c r="Z38" s="1814" t="str">
        <f t="shared" si="18"/>
        <v>物业管理</v>
      </c>
      <c r="AA38" s="1811">
        <f t="shared" si="15"/>
        <v>1</v>
      </c>
      <c r="AB38" s="1811">
        <f t="shared" si="16"/>
        <v>1</v>
      </c>
      <c r="AC38" s="1811">
        <f t="shared" si="17"/>
        <v>1</v>
      </c>
    </row>
    <row r="39" spans="1:29" ht="15">
      <c r="A39" s="472"/>
      <c r="B39" s="422" t="s">
        <v>2569</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0"/>
      <c r="M39" s="1131"/>
      <c r="N39" s="1131"/>
      <c r="O39" s="1131"/>
      <c r="P39" s="3213"/>
      <c r="Q39" s="1810" t="str">
        <f t="shared" si="11"/>
        <v>市政基础设施</v>
      </c>
      <c r="R39" s="774" t="s">
        <v>21</v>
      </c>
      <c r="S39" s="775">
        <f t="shared" si="12"/>
        <v>100</v>
      </c>
      <c r="T39" s="774" t="s">
        <v>21</v>
      </c>
      <c r="U39" s="775">
        <f t="shared" si="13"/>
        <v>100</v>
      </c>
      <c r="V39" s="774" t="s">
        <v>21</v>
      </c>
      <c r="W39" s="775">
        <f t="shared" si="14"/>
        <v>100</v>
      </c>
      <c r="X39" s="1813"/>
      <c r="Y39" s="3215"/>
      <c r="Z39" s="1814" t="str">
        <f t="shared" si="18"/>
        <v>市政基础设施</v>
      </c>
      <c r="AA39" s="1811">
        <f t="shared" si="15"/>
        <v>1</v>
      </c>
      <c r="AB39" s="1811">
        <f t="shared" si="16"/>
        <v>1</v>
      </c>
      <c r="AC39" s="1811">
        <f t="shared" si="17"/>
        <v>1</v>
      </c>
    </row>
    <row r="40" spans="1:29" ht="15">
      <c r="A40" s="472"/>
      <c r="B40" s="422" t="s">
        <v>2570</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0"/>
      <c r="M40" s="1131"/>
      <c r="N40" s="1131"/>
      <c r="O40" s="1131"/>
      <c r="P40" s="3213"/>
      <c r="Q40" s="1810" t="str">
        <f t="shared" si="11"/>
        <v>房型</v>
      </c>
      <c r="R40" s="774" t="s">
        <v>21</v>
      </c>
      <c r="S40" s="775">
        <f t="shared" si="12"/>
        <v>100</v>
      </c>
      <c r="T40" s="774" t="s">
        <v>21</v>
      </c>
      <c r="U40" s="775">
        <f t="shared" si="13"/>
        <v>100</v>
      </c>
      <c r="V40" s="774" t="s">
        <v>21</v>
      </c>
      <c r="W40" s="775">
        <f t="shared" si="14"/>
        <v>100</v>
      </c>
      <c r="X40" s="1813"/>
      <c r="Y40" s="3215"/>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8"/>
      <c r="M41" s="1141"/>
      <c r="N41" s="1141"/>
      <c r="O41" s="1141"/>
      <c r="P41" s="3213"/>
      <c r="Q41" s="776" t="str">
        <f t="shared" si="11"/>
        <v>单套/主力户型建筑面积</v>
      </c>
      <c r="R41" s="777" t="s">
        <v>21</v>
      </c>
      <c r="S41" s="778">
        <f t="shared" si="12"/>
        <v>100</v>
      </c>
      <c r="T41" s="777" t="s">
        <v>21</v>
      </c>
      <c r="U41" s="778">
        <f t="shared" si="13"/>
        <v>100</v>
      </c>
      <c r="V41" s="777" t="s">
        <v>21</v>
      </c>
      <c r="W41" s="778">
        <f t="shared" si="14"/>
        <v>100</v>
      </c>
      <c r="X41" s="779"/>
      <c r="Y41" s="3215"/>
      <c r="Z41" s="780" t="str">
        <f t="shared" si="18"/>
        <v>单套/主力户型建筑面积</v>
      </c>
      <c r="AA41" s="1811">
        <f t="shared" si="15"/>
        <v>1</v>
      </c>
      <c r="AB41" s="1811">
        <f t="shared" si="16"/>
        <v>1</v>
      </c>
      <c r="AC41" s="1811">
        <f t="shared" si="17"/>
        <v>1</v>
      </c>
    </row>
    <row r="42" spans="1:29" ht="15">
      <c r="A42" s="472"/>
      <c r="B42" s="422" t="s">
        <v>2572</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0"/>
      <c r="M42" s="1131"/>
      <c r="N42" s="1131"/>
      <c r="O42" s="1131"/>
      <c r="P42" s="3213"/>
      <c r="Q42" s="1810" t="str">
        <f t="shared" si="11"/>
        <v>内部装修</v>
      </c>
      <c r="R42" s="774" t="s">
        <v>21</v>
      </c>
      <c r="S42" s="775">
        <f t="shared" si="12"/>
        <v>100</v>
      </c>
      <c r="T42" s="774" t="s">
        <v>21</v>
      </c>
      <c r="U42" s="775">
        <f t="shared" si="13"/>
        <v>100</v>
      </c>
      <c r="V42" s="774" t="s">
        <v>21</v>
      </c>
      <c r="W42" s="775">
        <f t="shared" si="14"/>
        <v>100</v>
      </c>
      <c r="X42" s="1813"/>
      <c r="Y42" s="3215"/>
      <c r="Z42" s="1814" t="str">
        <f t="shared" si="18"/>
        <v>内部装修</v>
      </c>
      <c r="AA42" s="1811">
        <f t="shared" si="15"/>
        <v>1</v>
      </c>
      <c r="AB42" s="1811">
        <f t="shared" si="16"/>
        <v>1</v>
      </c>
      <c r="AC42" s="1811">
        <f t="shared" si="17"/>
        <v>1</v>
      </c>
    </row>
    <row r="43" spans="1:29" ht="15">
      <c r="A43" s="472"/>
      <c r="B43" s="422" t="s">
        <v>2573</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0"/>
      <c r="M43" s="1131"/>
      <c r="N43" s="1131"/>
      <c r="O43" s="1131"/>
      <c r="P43" s="3213"/>
      <c r="Q43" s="1810" t="str">
        <f t="shared" si="11"/>
        <v>内部装修维护情况</v>
      </c>
      <c r="R43" s="774" t="s">
        <v>21</v>
      </c>
      <c r="S43" s="775">
        <f t="shared" si="12"/>
        <v>100</v>
      </c>
      <c r="T43" s="774" t="s">
        <v>21</v>
      </c>
      <c r="U43" s="775">
        <f t="shared" si="13"/>
        <v>100</v>
      </c>
      <c r="V43" s="774" t="s">
        <v>21</v>
      </c>
      <c r="W43" s="775">
        <f t="shared" si="14"/>
        <v>100</v>
      </c>
      <c r="X43" s="1813"/>
      <c r="Y43" s="3215"/>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13"/>
      <c r="Q44" s="1795">
        <f t="shared" si="11"/>
        <v>111</v>
      </c>
      <c r="R44" s="770" t="s">
        <v>21</v>
      </c>
      <c r="S44" s="771">
        <f t="shared" si="12"/>
        <v>100</v>
      </c>
      <c r="T44" s="770" t="s">
        <v>21</v>
      </c>
      <c r="U44" s="771">
        <f t="shared" si="13"/>
        <v>100</v>
      </c>
      <c r="V44" s="770" t="s">
        <v>21</v>
      </c>
      <c r="W44" s="771">
        <f t="shared" si="14"/>
        <v>100</v>
      </c>
      <c r="X44" s="772"/>
      <c r="Y44" s="3215"/>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13"/>
      <c r="Q45" s="1810">
        <f t="shared" si="11"/>
        <v>111</v>
      </c>
      <c r="R45" s="774" t="s">
        <v>21</v>
      </c>
      <c r="S45" s="775">
        <f t="shared" si="12"/>
        <v>100</v>
      </c>
      <c r="T45" s="774" t="s">
        <v>21</v>
      </c>
      <c r="U45" s="775">
        <f t="shared" si="13"/>
        <v>100</v>
      </c>
      <c r="V45" s="774" t="s">
        <v>21</v>
      </c>
      <c r="W45" s="775">
        <f t="shared" si="14"/>
        <v>100</v>
      </c>
      <c r="X45" s="1813"/>
      <c r="Y45" s="3215"/>
      <c r="Z45" s="1814">
        <f t="shared" si="18"/>
        <v>111</v>
      </c>
      <c r="AA45" s="1811">
        <f t="shared" si="15"/>
        <v>1</v>
      </c>
      <c r="AB45" s="1811">
        <f t="shared" si="16"/>
        <v>1</v>
      </c>
      <c r="AC45" s="1811">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14"/>
      <c r="Q46" s="1810">
        <f t="shared" si="11"/>
        <v>111</v>
      </c>
      <c r="R46" s="774" t="s">
        <v>20</v>
      </c>
      <c r="S46" s="775">
        <f t="shared" si="12"/>
        <v>100</v>
      </c>
      <c r="T46" s="774" t="s">
        <v>20</v>
      </c>
      <c r="U46" s="775">
        <f t="shared" si="13"/>
        <v>100</v>
      </c>
      <c r="V46" s="774" t="s">
        <v>20</v>
      </c>
      <c r="W46" s="775">
        <f t="shared" si="14"/>
        <v>100</v>
      </c>
      <c r="X46" s="1813"/>
      <c r="Y46" s="3216"/>
      <c r="Z46" s="1814">
        <f t="shared" si="18"/>
        <v>111</v>
      </c>
      <c r="AA46" s="1811">
        <f t="shared" si="15"/>
        <v>1</v>
      </c>
      <c r="AB46" s="1811">
        <f t="shared" si="16"/>
        <v>1</v>
      </c>
      <c r="AC46" s="1811">
        <f t="shared" si="17"/>
        <v>1</v>
      </c>
    </row>
    <row r="47" spans="1:29" ht="15">
      <c r="A47" s="479" t="s">
        <v>2574</v>
      </c>
      <c r="B47" s="480"/>
      <c r="C47" s="1407" t="s">
        <v>19</v>
      </c>
      <c r="D47" s="1408"/>
      <c r="E47" s="1409"/>
      <c r="F47" s="1410"/>
      <c r="G47" s="1411"/>
      <c r="H47" s="1412"/>
      <c r="I47" s="1409"/>
      <c r="J47" s="1412"/>
      <c r="K47" s="2620"/>
      <c r="L47" s="1143"/>
      <c r="M47" s="1144"/>
      <c r="N47" s="1131"/>
      <c r="O47" s="1144"/>
      <c r="P47" s="3208" t="str">
        <f>A47</f>
        <v>成交单价（元/平方米）</v>
      </c>
      <c r="Q47" s="3208"/>
      <c r="R47" s="3209">
        <f>E47</f>
        <v>0</v>
      </c>
      <c r="S47" s="3209"/>
      <c r="T47" s="3209">
        <f>G47</f>
        <v>0</v>
      </c>
      <c r="U47" s="3209"/>
      <c r="V47" s="3209">
        <f>I47</f>
        <v>0</v>
      </c>
      <c r="W47" s="3209"/>
      <c r="X47" s="759"/>
      <c r="Y47" s="781"/>
      <c r="Z47" s="759"/>
      <c r="AA47" s="759"/>
      <c r="AB47" s="759"/>
      <c r="AC47" s="759"/>
    </row>
    <row r="48" spans="1:29" ht="15.75" thickBot="1">
      <c r="A48" s="486" t="s">
        <v>2575</v>
      </c>
      <c r="B48" s="487"/>
      <c r="C48" s="1413" t="e">
        <f>R49</f>
        <v>#DIV/0!</v>
      </c>
      <c r="D48" s="1414"/>
      <c r="E48" s="1415" t="e">
        <f>R48</f>
        <v>#DIV/0!</v>
      </c>
      <c r="F48" s="1415"/>
      <c r="G48" s="1413" t="e">
        <f>T48</f>
        <v>#DIV/0!</v>
      </c>
      <c r="H48" s="1414"/>
      <c r="I48" s="1415" t="e">
        <f>V48</f>
        <v>#DIV/0!</v>
      </c>
      <c r="J48" s="1414"/>
      <c r="K48" s="2621"/>
      <c r="L48" s="1143"/>
      <c r="M48" s="1144"/>
      <c r="N48" s="1144"/>
      <c r="O48" s="1144"/>
      <c r="P48" s="3208" t="str">
        <f>A48</f>
        <v>比较价值（元/平方米）</v>
      </c>
      <c r="Q48" s="3208"/>
      <c r="R48" s="3209" t="e">
        <f>IF(F1="售价",ROUND(PRODUCT(R47,AA7:AA46),0),ROUND(PRODUCT(R47,AA7:AA46),1))</f>
        <v>#DIV/0!</v>
      </c>
      <c r="S48" s="3209"/>
      <c r="T48" s="3209" t="e">
        <f>IF(F1="售价",ROUND(PRODUCT(T47,AB7:AB46),0),ROUND(PRODUCT(T47,AB7:AB46),1))</f>
        <v>#DIV/0!</v>
      </c>
      <c r="U48" s="3209"/>
      <c r="V48" s="3209" t="e">
        <f>IF(F1="售价",ROUND(PRODUCT(V47,AC7:AC46),0),ROUND(PRODUCT(V47,AC7:AC46),1))</f>
        <v>#DIV/0!</v>
      </c>
      <c r="W48" s="3209"/>
      <c r="X48" s="759"/>
      <c r="Y48" s="759"/>
      <c r="Z48" s="759"/>
      <c r="AA48" s="759"/>
      <c r="AB48" s="759"/>
      <c r="AC48" s="759"/>
    </row>
    <row r="49" spans="1:29" ht="15.75" thickBot="1">
      <c r="A49" s="492" t="s">
        <v>2576</v>
      </c>
      <c r="B49" s="493"/>
      <c r="C49" s="1416" t="e">
        <f>R49</f>
        <v>#DIV/0!</v>
      </c>
      <c r="D49" s="1417"/>
      <c r="E49" s="1417"/>
      <c r="F49" s="1417"/>
      <c r="G49" s="1417"/>
      <c r="H49" s="1417"/>
      <c r="I49" s="1417"/>
      <c r="J49" s="1417"/>
      <c r="K49" s="2622"/>
      <c r="L49" s="1143"/>
      <c r="M49" s="1144"/>
      <c r="N49" s="1144"/>
      <c r="O49" s="1144"/>
      <c r="P49" s="3205" t="str">
        <f>A49</f>
        <v>估价对象XX用房的比较价值（楼面单价，元/平方米）</v>
      </c>
      <c r="Q49" s="3206"/>
      <c r="R49" s="3207" t="e">
        <f>IF(F1="售价",ROUND(AVERAGE(R48:V48),0),ROUND(AVERAGE(R48:V48),1))</f>
        <v>#DIV/0!</v>
      </c>
      <c r="S49" s="3207"/>
      <c r="T49" s="3207"/>
      <c r="U49" s="3207"/>
      <c r="V49" s="3207"/>
      <c r="W49" s="320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2580</v>
      </c>
      <c r="B57" s="759"/>
      <c r="C57" s="764"/>
      <c r="D57" s="764"/>
      <c r="E57" s="764"/>
      <c r="F57" s="765"/>
      <c r="G57" s="765"/>
      <c r="H57" s="764"/>
      <c r="I57" s="764"/>
      <c r="J57" s="764"/>
      <c r="K57" s="1160"/>
      <c r="L57" s="1161"/>
      <c r="M57" s="1159"/>
      <c r="N57" s="1159"/>
      <c r="O57" s="1159"/>
      <c r="P57" s="2625"/>
      <c r="Q57" s="504"/>
    </row>
    <row r="58" spans="1:29" s="508" customFormat="1" ht="15">
      <c r="A58" s="505" t="s">
        <v>2581</v>
      </c>
      <c r="B58" s="506"/>
      <c r="C58" s="1576" t="str">
        <f>YEAR(C7)&amp;"-"&amp;MONTH(C7)</f>
        <v>2019-11</v>
      </c>
      <c r="D58" s="1575">
        <f>EDATE(C58,-1)</f>
        <v>43739</v>
      </c>
      <c r="E58" s="1575">
        <f>EDATE(D58,-1)</f>
        <v>43709</v>
      </c>
      <c r="F58" s="1575">
        <f t="shared" ref="F58:O58" si="19">EDATE(E58,-1)</f>
        <v>43678</v>
      </c>
      <c r="G58" s="1575">
        <f t="shared" si="19"/>
        <v>43647</v>
      </c>
      <c r="H58" s="1575">
        <f t="shared" si="19"/>
        <v>43617</v>
      </c>
      <c r="I58" s="1575">
        <f t="shared" si="19"/>
        <v>43586</v>
      </c>
      <c r="J58" s="1575">
        <f t="shared" si="19"/>
        <v>43556</v>
      </c>
      <c r="K58" s="1575">
        <f t="shared" si="19"/>
        <v>43525</v>
      </c>
      <c r="L58" s="1575">
        <f t="shared" si="19"/>
        <v>43497</v>
      </c>
      <c r="M58" s="1575">
        <f t="shared" si="19"/>
        <v>43466</v>
      </c>
      <c r="N58" s="1575">
        <f t="shared" si="19"/>
        <v>43435</v>
      </c>
      <c r="O58" s="1575">
        <f t="shared" si="19"/>
        <v>43405</v>
      </c>
      <c r="P58" s="1570"/>
    </row>
    <row r="59" spans="1:29" s="117" customFormat="1" ht="15">
      <c r="A59" s="509"/>
      <c r="B59" s="2626"/>
      <c r="C59" s="1573">
        <v>100</v>
      </c>
      <c r="D59" s="511"/>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2583</v>
      </c>
      <c r="B61" s="510"/>
      <c r="C61" s="522" t="s">
        <v>2584</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9"/>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2095</v>
      </c>
      <c r="C82" s="539" t="s">
        <v>2601</v>
      </c>
      <c r="D82" s="539" t="s">
        <v>2602</v>
      </c>
      <c r="E82" s="539" t="s">
        <v>2603</v>
      </c>
      <c r="F82" s="539" t="s">
        <v>2604</v>
      </c>
      <c r="G82" s="539" t="s">
        <v>2605</v>
      </c>
      <c r="H82" s="539"/>
      <c r="I82" s="539"/>
      <c r="J82" s="539"/>
      <c r="K82" s="539"/>
      <c r="L82" s="539"/>
      <c r="M82" s="1382"/>
      <c r="N82" s="1153"/>
      <c r="O82" s="1153"/>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2607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9"/>
      <c r="Q87" s="504"/>
    </row>
    <row r="88" spans="1:17" s="117" customFormat="1" ht="15.75" thickTop="1">
      <c r="A88" s="579"/>
      <c r="B88" s="538" t="s">
        <v>2608</v>
      </c>
      <c r="C88" s="554"/>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9"/>
      <c r="Q89" s="504"/>
    </row>
    <row r="90" spans="1:17" s="471" customFormat="1" ht="15.75" thickTop="1">
      <c r="A90" s="553"/>
      <c r="B90" s="538">
        <f>B27</f>
        <v>111</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111</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111</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2560</v>
      </c>
      <c r="B100" s="528" t="s">
        <v>2609</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9"/>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9"/>
      <c r="Q106" s="504"/>
    </row>
    <row r="107" spans="1:17" ht="15" thickTop="1">
      <c r="A107" s="599"/>
      <c r="B107" s="538" t="s">
        <v>2612</v>
      </c>
      <c r="C107" s="583"/>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9"/>
      <c r="Q108" s="504"/>
    </row>
    <row r="109" spans="1:17" ht="15" thickTop="1">
      <c r="A109" s="599"/>
      <c r="B109" s="538" t="s">
        <v>2613</v>
      </c>
      <c r="C109" s="554"/>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9"/>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0"/>
      <c r="Q113" s="559"/>
    </row>
    <row r="114" spans="1:17" ht="15" thickTop="1">
      <c r="A114" s="599"/>
      <c r="B114" s="538" t="s">
        <v>2614</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9"/>
      <c r="Q115" s="504"/>
    </row>
    <row r="116" spans="1:17" ht="15" thickTop="1">
      <c r="A116" s="599"/>
      <c r="B116" s="538" t="s">
        <v>2615</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2616</v>
      </c>
      <c r="C118" s="583"/>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9"/>
      <c r="Q119" s="504"/>
    </row>
    <row r="120" spans="1:17" s="471" customFormat="1" ht="28.5" thickTop="1">
      <c r="A120" s="593"/>
      <c r="B120" s="538" t="s">
        <v>2571</v>
      </c>
      <c r="C120" s="554"/>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2619</v>
      </c>
    </row>
    <row r="137" spans="1:17" ht="15">
      <c r="B137" s="2637" t="s">
        <v>2620</v>
      </c>
      <c r="C137" s="2638"/>
      <c r="D137" s="2638"/>
      <c r="E137" s="2638"/>
      <c r="F137" s="2638"/>
      <c r="G137" s="2639"/>
      <c r="H137" s="2640"/>
      <c r="I137" s="2641" t="s">
        <v>2621</v>
      </c>
      <c r="J137" s="2638"/>
      <c r="K137" s="2642"/>
    </row>
    <row r="138" spans="1:17" ht="15">
      <c r="B138" s="2643"/>
      <c r="C138" s="146" t="s">
        <v>2622</v>
      </c>
      <c r="D138" s="146" t="s">
        <v>2623</v>
      </c>
      <c r="E138" s="2644" t="s">
        <v>2624</v>
      </c>
      <c r="F138" s="2645" t="s">
        <v>2625</v>
      </c>
      <c r="G138" s="146" t="s">
        <v>2623</v>
      </c>
      <c r="H138" s="147" t="s">
        <v>2624</v>
      </c>
      <c r="I138" s="2646"/>
      <c r="J138" s="146" t="s">
        <v>2626</v>
      </c>
      <c r="K138" s="147" t="s">
        <v>2627</v>
      </c>
    </row>
    <row r="139" spans="1:17" ht="15">
      <c r="B139" s="1084">
        <v>6</v>
      </c>
      <c r="C139" s="1085">
        <v>96</v>
      </c>
      <c r="D139" s="2647" t="s">
        <v>2628</v>
      </c>
      <c r="E139" s="1086">
        <v>100</v>
      </c>
      <c r="F139" s="1087">
        <v>102.5</v>
      </c>
      <c r="G139" s="2647" t="s">
        <v>2628</v>
      </c>
      <c r="H139" s="1088">
        <v>105</v>
      </c>
      <c r="I139" s="2648" t="s">
        <v>2629</v>
      </c>
      <c r="J139" s="1085">
        <v>20</v>
      </c>
      <c r="K139" s="1089">
        <f>C145/(J139-2)</f>
        <v>4.0555555555555553E-3</v>
      </c>
    </row>
    <row r="140" spans="1:17" ht="15">
      <c r="B140" s="1090">
        <v>5</v>
      </c>
      <c r="C140" s="1091">
        <v>100</v>
      </c>
      <c r="D140" s="1091"/>
      <c r="E140" s="1092"/>
      <c r="F140" s="1093">
        <v>102</v>
      </c>
      <c r="G140" s="1091"/>
      <c r="H140" s="1094"/>
      <c r="I140" s="2649" t="s">
        <v>2630</v>
      </c>
      <c r="J140" s="315">
        <f>ROUNDUP((J139-1)/2,0)</f>
        <v>10</v>
      </c>
      <c r="K140" s="1095">
        <v>100</v>
      </c>
    </row>
    <row r="141" spans="1:17" ht="15">
      <c r="B141" s="1090">
        <v>4</v>
      </c>
      <c r="C141" s="1091">
        <v>102</v>
      </c>
      <c r="D141" s="1091"/>
      <c r="E141" s="1092"/>
      <c r="F141" s="1093">
        <v>101.5</v>
      </c>
      <c r="G141" s="1091"/>
      <c r="H141" s="1094"/>
      <c r="I141" s="2649" t="s">
        <v>2631</v>
      </c>
      <c r="J141" s="315">
        <v>1</v>
      </c>
      <c r="K141" s="1096">
        <f>ROUND(100+(J141-J140)*K139*100,1)</f>
        <v>96.4</v>
      </c>
    </row>
    <row r="142" spans="1:17" ht="15">
      <c r="B142" s="1090">
        <v>3</v>
      </c>
      <c r="C142" s="1091">
        <v>103</v>
      </c>
      <c r="D142" s="1091"/>
      <c r="E142" s="1092"/>
      <c r="F142" s="1093">
        <v>101</v>
      </c>
      <c r="G142" s="1091"/>
      <c r="H142" s="1094"/>
      <c r="I142" s="2649" t="s">
        <v>2632</v>
      </c>
      <c r="J142" s="315">
        <f>J139</f>
        <v>20</v>
      </c>
      <c r="K142" s="1097">
        <v>95</v>
      </c>
    </row>
    <row r="143" spans="1:17" ht="15">
      <c r="B143" s="1090">
        <v>2</v>
      </c>
      <c r="C143" s="1091">
        <v>100</v>
      </c>
      <c r="D143" s="1091"/>
      <c r="E143" s="1092"/>
      <c r="F143" s="1093">
        <v>100.5</v>
      </c>
      <c r="G143" s="1091"/>
      <c r="H143" s="1094"/>
      <c r="I143" s="2649" t="s">
        <v>2633</v>
      </c>
      <c r="J143" s="1091">
        <v>15</v>
      </c>
      <c r="K143" s="1096">
        <f>ROUND(100+(J143-J140)*K139*100,1)</f>
        <v>102</v>
      </c>
    </row>
    <row r="144" spans="1:17" ht="15">
      <c r="B144" s="1090">
        <v>1</v>
      </c>
      <c r="C144" s="1091">
        <v>98</v>
      </c>
      <c r="D144" s="2650" t="s">
        <v>2634</v>
      </c>
      <c r="E144" s="1092">
        <v>102</v>
      </c>
      <c r="F144" s="1098">
        <v>100</v>
      </c>
      <c r="G144" s="2650" t="s">
        <v>2634</v>
      </c>
      <c r="H144" s="1094">
        <v>105</v>
      </c>
      <c r="I144" s="2649" t="s">
        <v>2633</v>
      </c>
      <c r="J144" s="1091">
        <v>18</v>
      </c>
      <c r="K144" s="1096">
        <f>ROUND(100+(J144-J140)*K139*100,1)</f>
        <v>103.2</v>
      </c>
    </row>
    <row r="145" spans="2:11" ht="15.75" thickBot="1">
      <c r="B145" s="2651" t="s">
        <v>2635</v>
      </c>
      <c r="C145" s="1099">
        <f>ROUND(MAX(C139:C144)/MIN(C139:C144)-1,3)</f>
        <v>7.2999999999999995E-2</v>
      </c>
      <c r="D145" s="1100"/>
      <c r="E145" s="1100"/>
      <c r="F145" s="2652" t="s">
        <v>2636</v>
      </c>
      <c r="G145" s="2653"/>
      <c r="H145" s="2654"/>
      <c r="I145" s="2655" t="s">
        <v>2633</v>
      </c>
      <c r="J145" s="1101">
        <v>8</v>
      </c>
      <c r="K145" s="1102">
        <f>ROUND(100+(J145-J140)*K139*100,1)</f>
        <v>99.2</v>
      </c>
    </row>
    <row r="147" spans="2:11">
      <c r="B147" s="2636" t="s">
        <v>2637</v>
      </c>
    </row>
    <row r="148" spans="2:11">
      <c r="B148" s="2636"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2639</v>
      </c>
      <c r="C1" s="1634" t="s">
        <v>2527</v>
      </c>
      <c r="D1" s="1621"/>
      <c r="E1" s="2656"/>
      <c r="F1" s="2583"/>
      <c r="G1" s="1631" t="s">
        <v>2640</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2324</v>
      </c>
      <c r="B2" s="1418" t="e">
        <f ca="1">IF(C2="——",ROUND(C49*D3/10000,0),ROUND(C49*D3/10000,0)-D2)</f>
        <v>#DIV/0!</v>
      </c>
      <c r="C2" s="2585"/>
      <c r="D2" s="1365" t="e">
        <f ca="1">SUMIF(INDIRECT("'"&amp;F2&amp;"'"&amp;"!A:A"),"承租人权益价值",INDIRECT("'"&amp;F2&amp;"'"&amp;"!c:c"))</f>
        <v>#REF!</v>
      </c>
      <c r="E2" s="2586" t="s">
        <v>2325</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2326</v>
      </c>
      <c r="B3" s="609" t="e">
        <f ca="1">IF(C2="——",C49,ROUND(B2*10000/D3,0))</f>
        <v>#DIV/0!</v>
      </c>
      <c r="C3" s="400" t="s">
        <v>2641</v>
      </c>
      <c r="D3" s="399">
        <f>IF(D1="",'数据-汇总表'!E3,SUMIF('数据-汇总表'!$C19:$C33,D1,'数据-汇总表'!$E19:$E33))</f>
        <v>5028.579999999999</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39" t="s">
        <v>2645</v>
      </c>
      <c r="AC4" s="3220" t="s">
        <v>2646</v>
      </c>
    </row>
    <row r="5" spans="1:29"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39"/>
      <c r="AC5" s="3221"/>
    </row>
    <row r="6" spans="1:29" ht="15.75" thickBot="1">
      <c r="A6" s="406"/>
      <c r="B6" s="407"/>
      <c r="C6" s="3240" t="s">
        <v>2543</v>
      </c>
      <c r="D6" s="3241"/>
      <c r="E6" s="3247" t="s">
        <v>2543</v>
      </c>
      <c r="F6" s="3248"/>
      <c r="G6" s="3240" t="s">
        <v>2543</v>
      </c>
      <c r="H6" s="3241"/>
      <c r="I6" s="3240" t="s">
        <v>2543</v>
      </c>
      <c r="J6" s="3241"/>
      <c r="K6" s="610" t="s">
        <v>2544</v>
      </c>
      <c r="L6" s="1130"/>
      <c r="M6" s="1131"/>
      <c r="N6" s="1131"/>
      <c r="O6" s="1131"/>
      <c r="P6" s="3231"/>
      <c r="Q6" s="3232"/>
      <c r="R6" s="3235"/>
      <c r="S6" s="3236"/>
      <c r="T6" s="3237"/>
      <c r="U6" s="3238"/>
      <c r="V6" s="3239"/>
      <c r="W6" s="3239"/>
      <c r="X6" s="1813"/>
      <c r="Y6" s="3237"/>
      <c r="Z6" s="3238"/>
      <c r="AA6" s="3222"/>
      <c r="AB6" s="3239"/>
      <c r="AC6" s="3222"/>
    </row>
    <row r="7" spans="1:29" s="117" customFormat="1" ht="15.75" thickBot="1">
      <c r="A7" s="408" t="s">
        <v>2545</v>
      </c>
      <c r="B7" s="409"/>
      <c r="C7" s="410">
        <f>'数据-取费表'!B2</f>
        <v>43774</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44" t="s">
        <v>2546</v>
      </c>
      <c r="Q7" s="3246"/>
      <c r="R7" s="770" t="s">
        <v>17</v>
      </c>
      <c r="S7" s="771">
        <f t="shared" ref="S7:S15" si="0">F7</f>
        <v>0</v>
      </c>
      <c r="T7" s="770" t="s">
        <v>17</v>
      </c>
      <c r="U7" s="771">
        <f t="shared" ref="U7:U15" si="1">H7</f>
        <v>0</v>
      </c>
      <c r="V7" s="770" t="s">
        <v>17</v>
      </c>
      <c r="W7" s="771">
        <f t="shared" ref="W7:W15" si="2">J7</f>
        <v>0</v>
      </c>
      <c r="X7" s="772"/>
      <c r="Y7" s="3244" t="s">
        <v>2546</v>
      </c>
      <c r="Z7" s="3245"/>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9"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9"/>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9"/>
      <c r="Q11" s="1795"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9"/>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9"/>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9"/>
      <c r="Q14" s="1795">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71.25">
      <c r="A15" s="440" t="s">
        <v>2556</v>
      </c>
      <c r="B15" s="69" t="s">
        <v>2650</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17" t="s">
        <v>2557</v>
      </c>
      <c r="Q15" s="1810" t="str">
        <f t="shared" si="6"/>
        <v>商业繁华度</v>
      </c>
      <c r="R15" s="774" t="s">
        <v>17</v>
      </c>
      <c r="S15" s="775">
        <f t="shared" si="0"/>
        <v>100</v>
      </c>
      <c r="T15" s="774" t="s">
        <v>17</v>
      </c>
      <c r="U15" s="775">
        <f t="shared" si="1"/>
        <v>100</v>
      </c>
      <c r="V15" s="774" t="s">
        <v>17</v>
      </c>
      <c r="W15" s="775">
        <f t="shared" si="2"/>
        <v>100</v>
      </c>
      <c r="X15" s="1813"/>
      <c r="Y15" s="3210" t="s">
        <v>2557</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18"/>
      <c r="Q16" s="1810"/>
      <c r="R16" s="774"/>
      <c r="S16" s="775"/>
      <c r="T16" s="774"/>
      <c r="U16" s="775"/>
      <c r="V16" s="774"/>
      <c r="W16" s="775"/>
      <c r="X16" s="1813"/>
      <c r="Y16" s="3211"/>
      <c r="Z16" s="1814"/>
      <c r="AA16" s="1811">
        <v>1</v>
      </c>
      <c r="AB16" s="1811">
        <v>1</v>
      </c>
      <c r="AC16" s="1811">
        <v>1</v>
      </c>
    </row>
    <row r="17" spans="1:29" ht="15">
      <c r="A17" s="428"/>
      <c r="B17" s="451" t="s">
        <v>2094</v>
      </c>
      <c r="C17" s="2606"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18"/>
      <c r="Q17" s="1810" t="str">
        <f>B17</f>
        <v>交通便捷度</v>
      </c>
      <c r="R17" s="774" t="s">
        <v>17</v>
      </c>
      <c r="S17" s="775">
        <f>F17</f>
        <v>100</v>
      </c>
      <c r="T17" s="774" t="s">
        <v>17</v>
      </c>
      <c r="U17" s="775">
        <f>H17</f>
        <v>100</v>
      </c>
      <c r="V17" s="774" t="s">
        <v>17</v>
      </c>
      <c r="W17" s="775">
        <f>J17</f>
        <v>100</v>
      </c>
      <c r="X17" s="1813"/>
      <c r="Y17" s="3211"/>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1"/>
      <c r="P18" s="3218"/>
      <c r="Q18" s="1810"/>
      <c r="R18" s="774"/>
      <c r="S18" s="775"/>
      <c r="T18" s="774"/>
      <c r="U18" s="775"/>
      <c r="V18" s="774"/>
      <c r="W18" s="775"/>
      <c r="X18" s="1813"/>
      <c r="Y18" s="3211"/>
      <c r="Z18" s="1814"/>
      <c r="AA18" s="1811">
        <v>1</v>
      </c>
      <c r="AB18" s="1811">
        <v>1</v>
      </c>
      <c r="AC18" s="1811">
        <v>1</v>
      </c>
    </row>
    <row r="19" spans="1:29" ht="15">
      <c r="A19" s="428"/>
      <c r="B19" s="451" t="s">
        <v>2651</v>
      </c>
      <c r="C19" s="2606"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18"/>
      <c r="Q19" s="1810" t="str">
        <f>B19</f>
        <v>公共配套设施</v>
      </c>
      <c r="R19" s="774" t="s">
        <v>17</v>
      </c>
      <c r="S19" s="775">
        <f>F19</f>
        <v>100</v>
      </c>
      <c r="T19" s="774" t="s">
        <v>17</v>
      </c>
      <c r="U19" s="775">
        <f>H19</f>
        <v>100</v>
      </c>
      <c r="V19" s="774" t="s">
        <v>17</v>
      </c>
      <c r="W19" s="775">
        <f>J19</f>
        <v>100</v>
      </c>
      <c r="X19" s="1813"/>
      <c r="Y19" s="3211"/>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1"/>
      <c r="P20" s="3218"/>
      <c r="Q20" s="1810"/>
      <c r="R20" s="774"/>
      <c r="S20" s="775"/>
      <c r="T20" s="774"/>
      <c r="U20" s="775"/>
      <c r="V20" s="774"/>
      <c r="W20" s="775"/>
      <c r="X20" s="1813"/>
      <c r="Y20" s="3211"/>
      <c r="Z20" s="1814"/>
      <c r="AA20" s="1811">
        <v>1</v>
      </c>
      <c r="AB20" s="1811">
        <v>1</v>
      </c>
      <c r="AC20" s="1811">
        <v>1</v>
      </c>
    </row>
    <row r="21" spans="1:29" ht="15">
      <c r="A21" s="428"/>
      <c r="B21" s="1384" t="s">
        <v>2652</v>
      </c>
      <c r="C21" s="2606"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18"/>
      <c r="Q21" s="1810" t="str">
        <f>B21</f>
        <v>基础设施水平</v>
      </c>
      <c r="R21" s="774" t="s">
        <v>17</v>
      </c>
      <c r="S21" s="775">
        <f>F21</f>
        <v>100</v>
      </c>
      <c r="T21" s="774" t="s">
        <v>17</v>
      </c>
      <c r="U21" s="775">
        <f>H21</f>
        <v>100</v>
      </c>
      <c r="V21" s="774" t="s">
        <v>17</v>
      </c>
      <c r="W21" s="775">
        <f>J21</f>
        <v>100</v>
      </c>
      <c r="X21" s="1813"/>
      <c r="Y21" s="3211"/>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1"/>
      <c r="P22" s="3218"/>
      <c r="Q22" s="1810"/>
      <c r="R22" s="774"/>
      <c r="S22" s="775"/>
      <c r="T22" s="774"/>
      <c r="U22" s="775"/>
      <c r="V22" s="774"/>
      <c r="W22" s="775"/>
      <c r="X22" s="1813"/>
      <c r="Y22" s="3211"/>
      <c r="Z22" s="1814"/>
      <c r="AA22" s="1811">
        <v>1</v>
      </c>
      <c r="AB22" s="1811">
        <v>1</v>
      </c>
      <c r="AC22" s="1811">
        <v>1</v>
      </c>
    </row>
    <row r="23" spans="1:29" ht="15">
      <c r="A23" s="428"/>
      <c r="B23" s="451" t="s">
        <v>2099</v>
      </c>
      <c r="C23" s="2663"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18"/>
      <c r="Q23" s="1810" t="str">
        <f>B23</f>
        <v>自然及人文环境</v>
      </c>
      <c r="R23" s="774" t="s">
        <v>17</v>
      </c>
      <c r="S23" s="775">
        <f>F23</f>
        <v>100</v>
      </c>
      <c r="T23" s="774" t="s">
        <v>17</v>
      </c>
      <c r="U23" s="775">
        <f>H23</f>
        <v>100</v>
      </c>
      <c r="V23" s="774" t="s">
        <v>17</v>
      </c>
      <c r="W23" s="775">
        <f>J23</f>
        <v>100</v>
      </c>
      <c r="X23" s="1813"/>
      <c r="Y23" s="3211"/>
      <c r="Z23" s="1814" t="str">
        <f>Q23</f>
        <v>自然及人文环境</v>
      </c>
      <c r="AA23" s="1811">
        <f t="shared" si="3"/>
        <v>1</v>
      </c>
      <c r="AB23" s="1811">
        <f t="shared" si="4"/>
        <v>1</v>
      </c>
      <c r="AC23" s="1811">
        <f t="shared" si="5"/>
        <v>1</v>
      </c>
    </row>
    <row r="24" spans="1:29" ht="15">
      <c r="A24" s="428"/>
      <c r="B24" s="456"/>
      <c r="C24" s="447"/>
      <c r="D24" s="448"/>
      <c r="E24" s="2604"/>
      <c r="F24" s="449"/>
      <c r="G24" s="2603"/>
      <c r="H24" s="448"/>
      <c r="I24" s="2604"/>
      <c r="J24" s="448"/>
      <c r="K24" s="615"/>
      <c r="L24" s="1140"/>
      <c r="M24" s="1131"/>
      <c r="N24" s="1131"/>
      <c r="O24" s="1131"/>
      <c r="P24" s="3218"/>
      <c r="Q24" s="1810"/>
      <c r="R24" s="774"/>
      <c r="S24" s="775"/>
      <c r="T24" s="774"/>
      <c r="U24" s="775"/>
      <c r="V24" s="774"/>
      <c r="W24" s="775"/>
      <c r="X24" s="1813"/>
      <c r="Y24" s="3211"/>
      <c r="Z24" s="1814"/>
      <c r="AA24" s="1811">
        <v>1</v>
      </c>
      <c r="AB24" s="1811">
        <v>1</v>
      </c>
      <c r="AC24" s="1811">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18"/>
      <c r="Q25" s="1810" t="str">
        <f t="shared" ref="Q25:Q46" si="11">B25</f>
        <v>临街状况</v>
      </c>
      <c r="R25" s="774" t="s">
        <v>17</v>
      </c>
      <c r="S25" s="775">
        <f>F25</f>
        <v>100</v>
      </c>
      <c r="T25" s="774" t="s">
        <v>17</v>
      </c>
      <c r="U25" s="775">
        <f>H25</f>
        <v>100</v>
      </c>
      <c r="V25" s="774" t="s">
        <v>17</v>
      </c>
      <c r="W25" s="775">
        <f>J25</f>
        <v>100</v>
      </c>
      <c r="X25" s="1813"/>
      <c r="Y25" s="3211"/>
      <c r="Z25" s="1814" t="str">
        <f>Q25</f>
        <v>临街状况</v>
      </c>
      <c r="AA25" s="1811">
        <f t="shared" si="3"/>
        <v>1</v>
      </c>
      <c r="AB25" s="1811">
        <f t="shared" si="4"/>
        <v>1</v>
      </c>
      <c r="AC25" s="1811">
        <f t="shared" si="5"/>
        <v>1</v>
      </c>
    </row>
    <row r="26" spans="1:29" ht="1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18"/>
      <c r="Q26" s="1810" t="str">
        <f t="shared" si="11"/>
        <v>平面位置/可视性</v>
      </c>
      <c r="R26" s="774" t="s">
        <v>17</v>
      </c>
      <c r="S26" s="775">
        <f>F26</f>
        <v>100</v>
      </c>
      <c r="T26" s="774" t="s">
        <v>17</v>
      </c>
      <c r="U26" s="775">
        <f>H26</f>
        <v>100</v>
      </c>
      <c r="V26" s="774" t="s">
        <v>17</v>
      </c>
      <c r="W26" s="775">
        <f>J26</f>
        <v>100</v>
      </c>
      <c r="X26" s="1813"/>
      <c r="Y26" s="3211"/>
      <c r="Z26" s="1814" t="str">
        <f>Q26</f>
        <v>平面位置/可视性</v>
      </c>
      <c r="AA26" s="1811">
        <f t="shared" si="3"/>
        <v>1</v>
      </c>
      <c r="AB26" s="1811">
        <f t="shared" si="4"/>
        <v>1</v>
      </c>
      <c r="AC26" s="1811">
        <f t="shared" si="5"/>
        <v>1</v>
      </c>
    </row>
    <row r="27" spans="1:29" s="117" customFormat="1" ht="15">
      <c r="A27" s="431"/>
      <c r="B27" s="451" t="s">
        <v>2655</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218"/>
      <c r="Q27" s="1795" t="str">
        <f t="shared" si="11"/>
        <v>人流量</v>
      </c>
      <c r="R27" s="770" t="s">
        <v>17</v>
      </c>
      <c r="S27" s="771">
        <f>F27</f>
        <v>100</v>
      </c>
      <c r="T27" s="770" t="s">
        <v>17</v>
      </c>
      <c r="U27" s="771">
        <f>H27</f>
        <v>100</v>
      </c>
      <c r="V27" s="770" t="s">
        <v>17</v>
      </c>
      <c r="W27" s="771">
        <f>J27</f>
        <v>100</v>
      </c>
      <c r="X27" s="772"/>
      <c r="Y27" s="3211"/>
      <c r="Z27" s="55" t="str">
        <f>Q27</f>
        <v>人流量</v>
      </c>
      <c r="AA27" s="1811">
        <f>D27/F27</f>
        <v>1</v>
      </c>
      <c r="AB27" s="1811">
        <f>D27/H27</f>
        <v>1</v>
      </c>
      <c r="AC27" s="1811">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18"/>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11"/>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8"/>
      <c r="Q29" s="1810">
        <f t="shared" si="11"/>
        <v>111</v>
      </c>
      <c r="R29" s="774" t="s">
        <v>17</v>
      </c>
      <c r="S29" s="775">
        <f t="shared" si="12"/>
        <v>100</v>
      </c>
      <c r="T29" s="774" t="s">
        <v>17</v>
      </c>
      <c r="U29" s="775">
        <f t="shared" si="13"/>
        <v>100</v>
      </c>
      <c r="V29" s="774" t="s">
        <v>17</v>
      </c>
      <c r="W29" s="775">
        <f t="shared" si="14"/>
        <v>100</v>
      </c>
      <c r="X29" s="1813"/>
      <c r="Y29" s="3211"/>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8"/>
      <c r="Q30" s="1810">
        <f t="shared" si="11"/>
        <v>111</v>
      </c>
      <c r="R30" s="774" t="s">
        <v>17</v>
      </c>
      <c r="S30" s="775">
        <f t="shared" si="12"/>
        <v>100</v>
      </c>
      <c r="T30" s="774" t="s">
        <v>17</v>
      </c>
      <c r="U30" s="775">
        <f t="shared" si="13"/>
        <v>100</v>
      </c>
      <c r="V30" s="774" t="s">
        <v>17</v>
      </c>
      <c r="W30" s="775">
        <f t="shared" si="14"/>
        <v>100</v>
      </c>
      <c r="X30" s="1813"/>
      <c r="Y30" s="3211"/>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8"/>
      <c r="Q31" s="1810">
        <f t="shared" si="11"/>
        <v>111</v>
      </c>
      <c r="R31" s="774" t="s">
        <v>17</v>
      </c>
      <c r="S31" s="775">
        <f t="shared" si="12"/>
        <v>100</v>
      </c>
      <c r="T31" s="774" t="s">
        <v>17</v>
      </c>
      <c r="U31" s="775">
        <f t="shared" si="13"/>
        <v>100</v>
      </c>
      <c r="V31" s="774" t="s">
        <v>17</v>
      </c>
      <c r="W31" s="775">
        <f t="shared" si="14"/>
        <v>100</v>
      </c>
      <c r="X31" s="1813"/>
      <c r="Y31" s="3211"/>
      <c r="Z31" s="1814">
        <f t="shared" si="15"/>
        <v>111</v>
      </c>
      <c r="AA31" s="1811">
        <f t="shared" si="3"/>
        <v>1</v>
      </c>
      <c r="AB31" s="1811">
        <f t="shared" si="4"/>
        <v>1</v>
      </c>
      <c r="AC31" s="1811">
        <f t="shared" si="5"/>
        <v>1</v>
      </c>
    </row>
    <row r="32" spans="1:29" ht="15">
      <c r="A32" s="440" t="s">
        <v>2560</v>
      </c>
      <c r="B32" s="71" t="s">
        <v>2657</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212" t="s">
        <v>2562</v>
      </c>
      <c r="Q32" s="1810" t="str">
        <f t="shared" si="11"/>
        <v>商业类型</v>
      </c>
      <c r="R32" s="774" t="s">
        <v>17</v>
      </c>
      <c r="S32" s="775">
        <f t="shared" si="12"/>
        <v>100</v>
      </c>
      <c r="T32" s="774" t="s">
        <v>17</v>
      </c>
      <c r="U32" s="775">
        <f t="shared" si="13"/>
        <v>100</v>
      </c>
      <c r="V32" s="774" t="s">
        <v>17</v>
      </c>
      <c r="W32" s="775">
        <f t="shared" si="14"/>
        <v>100</v>
      </c>
      <c r="X32" s="1813"/>
      <c r="Y32" s="3215" t="s">
        <v>2562</v>
      </c>
      <c r="Z32" s="1814" t="str">
        <f t="shared" si="15"/>
        <v>商业类型</v>
      </c>
      <c r="AA32" s="1811">
        <f t="shared" si="3"/>
        <v>1</v>
      </c>
      <c r="AB32" s="1811">
        <f t="shared" si="4"/>
        <v>1</v>
      </c>
      <c r="AC32" s="1811">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3"/>
      <c r="Q33" s="776" t="str">
        <f t="shared" si="11"/>
        <v>项目建筑规模</v>
      </c>
      <c r="R33" s="777" t="s">
        <v>17</v>
      </c>
      <c r="S33" s="778" t="e">
        <f t="shared" si="12"/>
        <v>#N/A</v>
      </c>
      <c r="T33" s="777" t="s">
        <v>17</v>
      </c>
      <c r="U33" s="778" t="e">
        <f t="shared" si="13"/>
        <v>#N/A</v>
      </c>
      <c r="V33" s="777" t="s">
        <v>17</v>
      </c>
      <c r="W33" s="778" t="e">
        <f t="shared" si="14"/>
        <v>#N/A</v>
      </c>
      <c r="X33" s="779"/>
      <c r="Y33" s="3215"/>
      <c r="Z33" s="780" t="str">
        <f t="shared" si="15"/>
        <v>项目建筑规模</v>
      </c>
      <c r="AA33" s="1811" t="e">
        <f t="shared" si="3"/>
        <v>#N/A</v>
      </c>
      <c r="AB33" s="1811" t="e">
        <f t="shared" si="4"/>
        <v>#N/A</v>
      </c>
      <c r="AC33" s="1811" t="e">
        <f t="shared" si="5"/>
        <v>#N/A</v>
      </c>
    </row>
    <row r="34" spans="1:29" ht="15">
      <c r="A34" s="472"/>
      <c r="B34" s="422" t="s">
        <v>2564</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213"/>
      <c r="Q34" s="1810" t="str">
        <f t="shared" si="11"/>
        <v>建筑结构</v>
      </c>
      <c r="R34" s="774" t="s">
        <v>17</v>
      </c>
      <c r="S34" s="775">
        <f t="shared" si="12"/>
        <v>100</v>
      </c>
      <c r="T34" s="774" t="s">
        <v>17</v>
      </c>
      <c r="U34" s="775">
        <f t="shared" si="13"/>
        <v>100</v>
      </c>
      <c r="V34" s="774" t="s">
        <v>17</v>
      </c>
      <c r="W34" s="775">
        <f t="shared" si="14"/>
        <v>100</v>
      </c>
      <c r="X34" s="1813"/>
      <c r="Y34" s="3215"/>
      <c r="Z34" s="1814" t="str">
        <f t="shared" si="15"/>
        <v>建筑结构</v>
      </c>
      <c r="AA34" s="1811">
        <f t="shared" si="3"/>
        <v>1</v>
      </c>
      <c r="AB34" s="1811">
        <f t="shared" si="4"/>
        <v>1</v>
      </c>
      <c r="AC34" s="1811">
        <f t="shared" si="5"/>
        <v>1</v>
      </c>
    </row>
    <row r="35" spans="1:29" ht="15">
      <c r="A35" s="472"/>
      <c r="B35" s="422" t="s">
        <v>2658</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213"/>
      <c r="Q35" s="1810" t="str">
        <f t="shared" si="11"/>
        <v>公共部分装修</v>
      </c>
      <c r="R35" s="774" t="s">
        <v>17</v>
      </c>
      <c r="S35" s="775">
        <f t="shared" si="12"/>
        <v>100</v>
      </c>
      <c r="T35" s="774" t="s">
        <v>17</v>
      </c>
      <c r="U35" s="775">
        <f t="shared" si="13"/>
        <v>100</v>
      </c>
      <c r="V35" s="774" t="s">
        <v>17</v>
      </c>
      <c r="W35" s="775">
        <f t="shared" si="14"/>
        <v>100</v>
      </c>
      <c r="X35" s="1813"/>
      <c r="Y35" s="3215"/>
      <c r="Z35" s="1814" t="str">
        <f t="shared" si="15"/>
        <v>公共部分装修</v>
      </c>
      <c r="AA35" s="1811">
        <f t="shared" si="3"/>
        <v>1</v>
      </c>
      <c r="AB35" s="1811">
        <f t="shared" si="4"/>
        <v>1</v>
      </c>
      <c r="AC35" s="1811">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3"/>
      <c r="Q36" s="1810" t="str">
        <f t="shared" si="11"/>
        <v>成新度</v>
      </c>
      <c r="R36" s="774" t="s">
        <v>17</v>
      </c>
      <c r="S36" s="775" t="e">
        <f t="shared" si="12"/>
        <v>#N/A</v>
      </c>
      <c r="T36" s="774" t="s">
        <v>17</v>
      </c>
      <c r="U36" s="775" t="e">
        <f t="shared" si="13"/>
        <v>#N/A</v>
      </c>
      <c r="V36" s="774" t="s">
        <v>17</v>
      </c>
      <c r="W36" s="775" t="e">
        <f t="shared" si="14"/>
        <v>#N/A</v>
      </c>
      <c r="X36" s="1813"/>
      <c r="Y36" s="3215"/>
      <c r="Z36" s="1814" t="str">
        <f t="shared" si="15"/>
        <v>成新度</v>
      </c>
      <c r="AA36" s="1811" t="e">
        <f t="shared" si="3"/>
        <v>#N/A</v>
      </c>
      <c r="AB36" s="1811" t="e">
        <f t="shared" si="4"/>
        <v>#N/A</v>
      </c>
      <c r="AC36" s="1811" t="e">
        <f t="shared" si="5"/>
        <v>#N/A</v>
      </c>
    </row>
    <row r="37" spans="1:29" s="117" customFormat="1" ht="15">
      <c r="A37" s="473"/>
      <c r="B37" s="422" t="s">
        <v>2660</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213"/>
      <c r="Q37" s="1795" t="str">
        <f t="shared" si="11"/>
        <v>市政基础设施</v>
      </c>
      <c r="R37" s="770" t="s">
        <v>17</v>
      </c>
      <c r="S37" s="771">
        <f t="shared" si="12"/>
        <v>100</v>
      </c>
      <c r="T37" s="770" t="s">
        <v>17</v>
      </c>
      <c r="U37" s="771">
        <f t="shared" si="13"/>
        <v>100</v>
      </c>
      <c r="V37" s="770" t="s">
        <v>17</v>
      </c>
      <c r="W37" s="771">
        <f t="shared" si="14"/>
        <v>100</v>
      </c>
      <c r="X37" s="772"/>
      <c r="Y37" s="3215"/>
      <c r="Z37" s="55" t="str">
        <f t="shared" si="15"/>
        <v>市政基础设施</v>
      </c>
      <c r="AA37" s="773">
        <f t="shared" si="3"/>
        <v>1</v>
      </c>
      <c r="AB37" s="773">
        <f t="shared" si="4"/>
        <v>1</v>
      </c>
      <c r="AC37" s="773">
        <f t="shared" si="5"/>
        <v>1</v>
      </c>
    </row>
    <row r="38" spans="1:29" ht="15">
      <c r="A38" s="472"/>
      <c r="B38" s="422" t="s">
        <v>2661</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213" t="s">
        <v>2562</v>
      </c>
      <c r="Q38" s="1810" t="str">
        <f t="shared" si="11"/>
        <v>业态</v>
      </c>
      <c r="R38" s="774" t="s">
        <v>17</v>
      </c>
      <c r="S38" s="775">
        <f t="shared" si="12"/>
        <v>100</v>
      </c>
      <c r="T38" s="774" t="s">
        <v>17</v>
      </c>
      <c r="U38" s="775">
        <f t="shared" si="13"/>
        <v>100</v>
      </c>
      <c r="V38" s="774" t="s">
        <v>17</v>
      </c>
      <c r="W38" s="775">
        <f t="shared" si="14"/>
        <v>100</v>
      </c>
      <c r="X38" s="1813"/>
      <c r="Y38" s="3215" t="s">
        <v>2562</v>
      </c>
      <c r="Z38" s="1814" t="str">
        <f t="shared" si="15"/>
        <v>业态</v>
      </c>
      <c r="AA38" s="1811">
        <f t="shared" si="3"/>
        <v>1</v>
      </c>
      <c r="AB38" s="1811">
        <f t="shared" si="4"/>
        <v>1</v>
      </c>
      <c r="AC38" s="1811">
        <f t="shared" si="5"/>
        <v>1</v>
      </c>
    </row>
    <row r="39" spans="1:29" ht="15">
      <c r="A39" s="472"/>
      <c r="B39" s="422" t="s">
        <v>2662</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213"/>
      <c r="Q39" s="1810" t="str">
        <f t="shared" si="11"/>
        <v>层高</v>
      </c>
      <c r="R39" s="774" t="s">
        <v>17</v>
      </c>
      <c r="S39" s="775">
        <f t="shared" si="12"/>
        <v>100</v>
      </c>
      <c r="T39" s="774" t="s">
        <v>17</v>
      </c>
      <c r="U39" s="775">
        <f t="shared" si="13"/>
        <v>100</v>
      </c>
      <c r="V39" s="774" t="s">
        <v>17</v>
      </c>
      <c r="W39" s="775">
        <f t="shared" si="14"/>
        <v>100</v>
      </c>
      <c r="X39" s="1813"/>
      <c r="Y39" s="3215"/>
      <c r="Z39" s="1814" t="str">
        <f t="shared" si="15"/>
        <v>层高</v>
      </c>
      <c r="AA39" s="1811">
        <f t="shared" si="3"/>
        <v>1</v>
      </c>
      <c r="AB39" s="1811">
        <f t="shared" si="4"/>
        <v>1</v>
      </c>
      <c r="AC39" s="1811">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3"/>
      <c r="Q40" s="1810" t="str">
        <f t="shared" si="11"/>
        <v>单套建筑面积</v>
      </c>
      <c r="R40" s="774" t="s">
        <v>17</v>
      </c>
      <c r="S40" s="775">
        <f t="shared" si="12"/>
        <v>100</v>
      </c>
      <c r="T40" s="774" t="s">
        <v>17</v>
      </c>
      <c r="U40" s="775">
        <f t="shared" si="13"/>
        <v>100</v>
      </c>
      <c r="V40" s="774" t="s">
        <v>17</v>
      </c>
      <c r="W40" s="775">
        <f t="shared" si="14"/>
        <v>100</v>
      </c>
      <c r="X40" s="1813"/>
      <c r="Y40" s="3215"/>
      <c r="Z40" s="1814" t="str">
        <f t="shared" si="15"/>
        <v>单套建筑面积</v>
      </c>
      <c r="AA40" s="1811">
        <f t="shared" si="3"/>
        <v>1</v>
      </c>
      <c r="AB40" s="1811">
        <f t="shared" si="4"/>
        <v>1</v>
      </c>
      <c r="AC40" s="1811">
        <f t="shared" si="5"/>
        <v>1</v>
      </c>
    </row>
    <row r="41" spans="1:29" s="471" customFormat="1" ht="1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3"/>
      <c r="Q41" s="776" t="str">
        <f t="shared" si="11"/>
        <v>进深比</v>
      </c>
      <c r="R41" s="777" t="s">
        <v>17</v>
      </c>
      <c r="S41" s="778">
        <f t="shared" si="12"/>
        <v>100</v>
      </c>
      <c r="T41" s="777" t="s">
        <v>17</v>
      </c>
      <c r="U41" s="778">
        <f t="shared" si="13"/>
        <v>100</v>
      </c>
      <c r="V41" s="777" t="s">
        <v>17</v>
      </c>
      <c r="W41" s="778">
        <f t="shared" si="14"/>
        <v>100</v>
      </c>
      <c r="X41" s="779"/>
      <c r="Y41" s="3215"/>
      <c r="Z41" s="780" t="str">
        <f t="shared" si="15"/>
        <v>进深比</v>
      </c>
      <c r="AA41" s="1811">
        <f t="shared" si="3"/>
        <v>1</v>
      </c>
      <c r="AB41" s="1811">
        <f t="shared" si="4"/>
        <v>1</v>
      </c>
      <c r="AC41" s="1811">
        <f t="shared" si="5"/>
        <v>1</v>
      </c>
    </row>
    <row r="42" spans="1:29" ht="15">
      <c r="A42" s="472"/>
      <c r="B42" s="422" t="s">
        <v>2665</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213"/>
      <c r="Q42" s="1810" t="str">
        <f t="shared" si="11"/>
        <v>内部装修</v>
      </c>
      <c r="R42" s="774" t="s">
        <v>17</v>
      </c>
      <c r="S42" s="775">
        <f t="shared" si="12"/>
        <v>100</v>
      </c>
      <c r="T42" s="774" t="s">
        <v>17</v>
      </c>
      <c r="U42" s="775">
        <f t="shared" si="13"/>
        <v>100</v>
      </c>
      <c r="V42" s="774" t="s">
        <v>17</v>
      </c>
      <c r="W42" s="775">
        <f t="shared" si="14"/>
        <v>100</v>
      </c>
      <c r="X42" s="1813"/>
      <c r="Y42" s="3215"/>
      <c r="Z42" s="1814" t="str">
        <f t="shared" si="15"/>
        <v>内部装修</v>
      </c>
      <c r="AA42" s="1811">
        <f t="shared" si="3"/>
        <v>1</v>
      </c>
      <c r="AB42" s="1811">
        <f t="shared" si="4"/>
        <v>1</v>
      </c>
      <c r="AC42" s="1811">
        <f t="shared" si="5"/>
        <v>1</v>
      </c>
    </row>
    <row r="43" spans="1:29" ht="15">
      <c r="A43" s="472"/>
      <c r="B43" s="422" t="s">
        <v>2573</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213"/>
      <c r="Q43" s="1810" t="str">
        <f t="shared" si="11"/>
        <v>内部装修维护情况</v>
      </c>
      <c r="R43" s="774" t="s">
        <v>17</v>
      </c>
      <c r="S43" s="775">
        <f t="shared" si="12"/>
        <v>100</v>
      </c>
      <c r="T43" s="774" t="s">
        <v>17</v>
      </c>
      <c r="U43" s="775">
        <f t="shared" si="13"/>
        <v>100</v>
      </c>
      <c r="V43" s="774" t="s">
        <v>17</v>
      </c>
      <c r="W43" s="775">
        <f t="shared" si="14"/>
        <v>100</v>
      </c>
      <c r="X43" s="1813"/>
      <c r="Y43" s="3215"/>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3"/>
      <c r="Q44" s="1795">
        <f t="shared" si="11"/>
        <v>111</v>
      </c>
      <c r="R44" s="770" t="s">
        <v>17</v>
      </c>
      <c r="S44" s="771">
        <f t="shared" si="12"/>
        <v>100</v>
      </c>
      <c r="T44" s="770" t="s">
        <v>17</v>
      </c>
      <c r="U44" s="771">
        <f t="shared" si="13"/>
        <v>100</v>
      </c>
      <c r="V44" s="770" t="s">
        <v>17</v>
      </c>
      <c r="W44" s="771">
        <f t="shared" si="14"/>
        <v>100</v>
      </c>
      <c r="X44" s="772"/>
      <c r="Y44" s="3215"/>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3"/>
      <c r="Q45" s="1810">
        <f t="shared" si="11"/>
        <v>111</v>
      </c>
      <c r="R45" s="774" t="s">
        <v>17</v>
      </c>
      <c r="S45" s="775">
        <f t="shared" si="12"/>
        <v>100</v>
      </c>
      <c r="T45" s="774" t="s">
        <v>17</v>
      </c>
      <c r="U45" s="775">
        <f t="shared" si="13"/>
        <v>100</v>
      </c>
      <c r="V45" s="774" t="s">
        <v>17</v>
      </c>
      <c r="W45" s="775">
        <f t="shared" si="14"/>
        <v>100</v>
      </c>
      <c r="X45" s="1813"/>
      <c r="Y45" s="3215"/>
      <c r="Z45" s="1814">
        <f t="shared" si="15"/>
        <v>111</v>
      </c>
      <c r="AA45" s="1811">
        <f t="shared" si="3"/>
        <v>1</v>
      </c>
      <c r="AB45" s="1811">
        <f t="shared" si="4"/>
        <v>1</v>
      </c>
      <c r="AC45" s="1811">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4"/>
      <c r="Q46" s="1810">
        <f t="shared" si="11"/>
        <v>111</v>
      </c>
      <c r="R46" s="774" t="s">
        <v>17</v>
      </c>
      <c r="S46" s="775">
        <f t="shared" si="12"/>
        <v>100</v>
      </c>
      <c r="T46" s="774" t="s">
        <v>17</v>
      </c>
      <c r="U46" s="775">
        <f t="shared" si="13"/>
        <v>100</v>
      </c>
      <c r="V46" s="774" t="s">
        <v>17</v>
      </c>
      <c r="W46" s="775">
        <f t="shared" si="14"/>
        <v>100</v>
      </c>
      <c r="X46" s="1813"/>
      <c r="Y46" s="3216"/>
      <c r="Z46" s="1814">
        <f t="shared" si="15"/>
        <v>111</v>
      </c>
      <c r="AA46" s="1811">
        <f t="shared" si="3"/>
        <v>1</v>
      </c>
      <c r="AB46" s="1811">
        <f t="shared" si="4"/>
        <v>1</v>
      </c>
      <c r="AC46" s="1811">
        <f t="shared" si="5"/>
        <v>1</v>
      </c>
    </row>
    <row r="47" spans="1:29" ht="15">
      <c r="A47" s="479" t="s">
        <v>2574</v>
      </c>
      <c r="B47" s="480"/>
      <c r="C47" s="1407" t="s">
        <v>1</v>
      </c>
      <c r="D47" s="1408"/>
      <c r="E47" s="1409"/>
      <c r="F47" s="1410"/>
      <c r="G47" s="1411"/>
      <c r="H47" s="1412"/>
      <c r="I47" s="1409"/>
      <c r="J47" s="1412"/>
      <c r="K47" s="783"/>
      <c r="L47" s="1143"/>
      <c r="M47" s="1144"/>
      <c r="N47" s="1131"/>
      <c r="O47" s="1144"/>
      <c r="P47" s="3208" t="str">
        <f>A47</f>
        <v>成交单价（元/平方米）</v>
      </c>
      <c r="Q47" s="3208"/>
      <c r="R47" s="3239">
        <f>E47</f>
        <v>0</v>
      </c>
      <c r="S47" s="3239"/>
      <c r="T47" s="3239">
        <f>G47</f>
        <v>0</v>
      </c>
      <c r="U47" s="3239"/>
      <c r="V47" s="3239">
        <f>I47</f>
        <v>0</v>
      </c>
      <c r="W47" s="3239"/>
      <c r="X47" s="759"/>
      <c r="Y47" s="781"/>
      <c r="Z47" s="759"/>
      <c r="AA47" s="759"/>
      <c r="AB47" s="759"/>
      <c r="AC47" s="759"/>
    </row>
    <row r="48" spans="1:29" ht="15.7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208" t="str">
        <f>A48</f>
        <v>比较价值（元/平方米）</v>
      </c>
      <c r="Q48" s="3208"/>
      <c r="R48" s="3209" t="e">
        <f>IF(F1="售价",ROUND(PRODUCT(R47,AA7:AA46),0),ROUND(PRODUCT(R47,AA7:AA46),1))</f>
        <v>#DIV/0!</v>
      </c>
      <c r="S48" s="3209"/>
      <c r="T48" s="3209" t="e">
        <f>IF(F1="售价",ROUND(PRODUCT(T47,AB7:AB46),0),ROUND(PRODUCT(T47,AB7:AB46),1))</f>
        <v>#DIV/0!</v>
      </c>
      <c r="U48" s="3209"/>
      <c r="V48" s="3209" t="e">
        <f>IF(F1="售价",ROUND(PRODUCT(V47,AC7:AC46),0),ROUND(PRODUCT(V47,AC7:AC46),1))</f>
        <v>#DIV/0!</v>
      </c>
      <c r="W48" s="3209"/>
      <c r="X48" s="759"/>
      <c r="Y48" s="759"/>
      <c r="Z48" s="759"/>
      <c r="AA48" s="759"/>
      <c r="AB48" s="759"/>
      <c r="AC48" s="759"/>
    </row>
    <row r="49" spans="1:29" ht="15.75" thickBot="1">
      <c r="A49" s="492" t="s">
        <v>2667</v>
      </c>
      <c r="B49" s="493"/>
      <c r="C49" s="1417" t="e">
        <f>R49</f>
        <v>#DIV/0!</v>
      </c>
      <c r="D49" s="1417"/>
      <c r="E49" s="1417"/>
      <c r="F49" s="1417"/>
      <c r="G49" s="1417"/>
      <c r="H49" s="1417"/>
      <c r="I49" s="1417"/>
      <c r="J49" s="1417"/>
      <c r="K49" s="785"/>
      <c r="L49" s="1143"/>
      <c r="M49" s="1144"/>
      <c r="N49" s="1131"/>
      <c r="O49" s="1144"/>
      <c r="P49" s="3205" t="str">
        <f>A49</f>
        <v>估价对象XX用房的比较价值（楼面单价，元/平方米）</v>
      </c>
      <c r="Q49" s="3206"/>
      <c r="R49" s="3207" t="e">
        <f>IF(F1="售价",ROUND(AVERAGE(R48:V48),0),ROUND(AVERAGE(R48:V48),1))</f>
        <v>#DIV/0!</v>
      </c>
      <c r="S49" s="3207"/>
      <c r="T49" s="3207"/>
      <c r="U49" s="3207"/>
      <c r="V49" s="3207"/>
      <c r="W49" s="320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2545</v>
      </c>
      <c r="B58" s="506"/>
      <c r="C58" s="1574" t="str">
        <f>YEAR(C7)&amp;"-"&amp;MONTH(C7)</f>
        <v>2019-11</v>
      </c>
      <c r="D58" s="1575">
        <f>EDATE(C58,-1)</f>
        <v>43739</v>
      </c>
      <c r="E58" s="1575">
        <f t="shared" ref="E58:N58" si="16">EDATE(D58,-1)</f>
        <v>43709</v>
      </c>
      <c r="F58" s="1575">
        <f t="shared" si="16"/>
        <v>43678</v>
      </c>
      <c r="G58" s="1575">
        <f t="shared" si="16"/>
        <v>43647</v>
      </c>
      <c r="H58" s="1575">
        <f t="shared" si="16"/>
        <v>43617</v>
      </c>
      <c r="I58" s="1575">
        <f t="shared" si="16"/>
        <v>43586</v>
      </c>
      <c r="J58" s="1575">
        <f t="shared" si="16"/>
        <v>43556</v>
      </c>
      <c r="K58" s="1575">
        <f t="shared" si="16"/>
        <v>43525</v>
      </c>
      <c r="L58" s="1575">
        <f t="shared" si="16"/>
        <v>43497</v>
      </c>
      <c r="M58" s="1575">
        <f t="shared" si="16"/>
        <v>43466</v>
      </c>
      <c r="N58" s="1575">
        <f t="shared" si="16"/>
        <v>43435</v>
      </c>
      <c r="O58" s="1575">
        <f>EDATE(N58,-1)</f>
        <v>43405</v>
      </c>
      <c r="P58" s="1570"/>
    </row>
    <row r="59" spans="1:29" s="117" customFormat="1" ht="15">
      <c r="A59" s="509"/>
      <c r="B59" s="510"/>
      <c r="C59" s="1573">
        <v>100</v>
      </c>
      <c r="D59" s="512"/>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2547</v>
      </c>
      <c r="B61" s="510"/>
      <c r="C61" s="522" t="s">
        <v>2649</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2652</v>
      </c>
      <c r="C82" s="660" t="s">
        <v>2672</v>
      </c>
      <c r="D82" s="660" t="s">
        <v>2673</v>
      </c>
      <c r="E82" s="660" t="s">
        <v>2674</v>
      </c>
      <c r="F82" s="660" t="s">
        <v>2675</v>
      </c>
      <c r="G82" s="660" t="s">
        <v>2676</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2677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2560</v>
      </c>
      <c r="B100" s="528" t="s">
        <v>2678</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2613</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2615</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2679</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2680</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2681</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2682</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41" sqref="M41"/>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2683</v>
      </c>
      <c r="C1" s="1620" t="s">
        <v>2527</v>
      </c>
      <c r="D1" s="1621" t="s">
        <v>3070</v>
      </c>
      <c r="E1" s="1630"/>
      <c r="F1" s="2583" t="s">
        <v>3139</v>
      </c>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f>IF(C2="——",ROUND(C50*D3/10000,0),ROUND(C50*D3/10000,0)-D2)</f>
        <v>3</v>
      </c>
      <c r="C2" s="2585" t="s">
        <v>70</v>
      </c>
      <c r="D2" s="1365"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f>IF(C2="——",C50,ROUND(B2*10000/D3,0))</f>
        <v>6</v>
      </c>
      <c r="C3" s="400" t="s">
        <v>2641</v>
      </c>
      <c r="D3" s="399">
        <f>IF(D1="",'数据-汇总表'!E3,SUMIF('数据-汇总表'!$C19:$C33,D1,'数据-汇总表'!$E19:$E33))</f>
        <v>5028.579999999999</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57" t="s">
        <v>2648</v>
      </c>
      <c r="Q4" s="3258"/>
      <c r="R4" s="3261" t="s">
        <v>2644</v>
      </c>
      <c r="S4" s="3262"/>
      <c r="T4" s="3261" t="s">
        <v>2645</v>
      </c>
      <c r="U4" s="3262"/>
      <c r="V4" s="3263" t="s">
        <v>2646</v>
      </c>
      <c r="W4" s="3263"/>
      <c r="X4" s="2669"/>
      <c r="Y4" s="3261" t="s">
        <v>2648</v>
      </c>
      <c r="Z4" s="3262"/>
      <c r="AA4" s="3267" t="s">
        <v>2644</v>
      </c>
      <c r="AB4" s="3267" t="s">
        <v>2645</v>
      </c>
      <c r="AC4" s="3254" t="s">
        <v>2646</v>
      </c>
    </row>
    <row r="5" spans="1:29" ht="15">
      <c r="A5" s="404"/>
      <c r="B5" s="405"/>
      <c r="C5" s="3264" t="s">
        <v>3140</v>
      </c>
      <c r="D5" s="3243"/>
      <c r="E5" s="3264" t="s">
        <v>3111</v>
      </c>
      <c r="F5" s="3243"/>
      <c r="G5" s="3264" t="s">
        <v>3142</v>
      </c>
      <c r="H5" s="3243"/>
      <c r="I5" s="3264" t="s">
        <v>3111</v>
      </c>
      <c r="J5" s="3243"/>
      <c r="K5" s="610"/>
      <c r="L5" s="1130"/>
      <c r="M5" s="1131"/>
      <c r="N5" s="1131"/>
      <c r="O5" s="1131"/>
      <c r="P5" s="3259"/>
      <c r="Q5" s="3230"/>
      <c r="R5" s="3235"/>
      <c r="S5" s="3236"/>
      <c r="T5" s="3235"/>
      <c r="U5" s="3236"/>
      <c r="V5" s="3239"/>
      <c r="W5" s="3239"/>
      <c r="X5" s="1813"/>
      <c r="Y5" s="3235"/>
      <c r="Z5" s="3236"/>
      <c r="AA5" s="3221"/>
      <c r="AB5" s="3221"/>
      <c r="AC5" s="3255"/>
    </row>
    <row r="6" spans="1:29" ht="15.75" thickBot="1">
      <c r="A6" s="406"/>
      <c r="B6" s="407"/>
      <c r="C6" s="3266" t="s">
        <v>3141</v>
      </c>
      <c r="D6" s="3241"/>
      <c r="E6" s="3240" t="s">
        <v>3112</v>
      </c>
      <c r="F6" s="3241"/>
      <c r="G6" s="3266" t="s">
        <v>3113</v>
      </c>
      <c r="H6" s="3241"/>
      <c r="I6" s="3240" t="s">
        <v>3112</v>
      </c>
      <c r="J6" s="3241"/>
      <c r="K6" s="610" t="s">
        <v>2544</v>
      </c>
      <c r="L6" s="1130"/>
      <c r="M6" s="1131"/>
      <c r="N6" s="1131"/>
      <c r="O6" s="1131"/>
      <c r="P6" s="3260"/>
      <c r="Q6" s="3232"/>
      <c r="R6" s="3235"/>
      <c r="S6" s="3236"/>
      <c r="T6" s="3237"/>
      <c r="U6" s="3238"/>
      <c r="V6" s="3239"/>
      <c r="W6" s="3239"/>
      <c r="X6" s="1813"/>
      <c r="Y6" s="3237"/>
      <c r="Z6" s="3238"/>
      <c r="AA6" s="3222"/>
      <c r="AB6" s="3222"/>
      <c r="AC6" s="3256"/>
    </row>
    <row r="7" spans="1:29" s="117" customFormat="1" ht="15.75" thickBot="1">
      <c r="A7" s="408" t="s">
        <v>2545</v>
      </c>
      <c r="B7" s="409"/>
      <c r="C7" s="410">
        <f>'数据-取费表'!B2</f>
        <v>43774</v>
      </c>
      <c r="D7" s="411">
        <v>100</v>
      </c>
      <c r="E7" s="412">
        <v>43770</v>
      </c>
      <c r="F7" s="413">
        <f>SUMIF(59:59,YEAR(E7)&amp;"-"&amp;MONTH(E7),60:60)</f>
        <v>100</v>
      </c>
      <c r="G7" s="412">
        <v>43770</v>
      </c>
      <c r="H7" s="411">
        <f>SUMIF(59:59,YEAR(G7)&amp;"-"&amp;MONTH(G7),60:60)</f>
        <v>100</v>
      </c>
      <c r="I7" s="412">
        <v>43770</v>
      </c>
      <c r="J7" s="411">
        <f>SUMIF(59:59,YEAR(I7)&amp;"-"&amp;MONTH(I7),60:60)</f>
        <v>100</v>
      </c>
      <c r="K7" s="611"/>
      <c r="L7" s="1132"/>
      <c r="M7" s="1133"/>
      <c r="N7" s="1133"/>
      <c r="O7" s="1133"/>
      <c r="P7" s="3265" t="s">
        <v>2546</v>
      </c>
      <c r="Q7" s="3246"/>
      <c r="R7" s="770" t="s">
        <v>17</v>
      </c>
      <c r="S7" s="771">
        <f t="shared" ref="S7:S15" si="0">F7</f>
        <v>100</v>
      </c>
      <c r="T7" s="770" t="s">
        <v>17</v>
      </c>
      <c r="U7" s="771">
        <f t="shared" ref="U7:U15" si="1">H7</f>
        <v>100</v>
      </c>
      <c r="V7" s="770" t="s">
        <v>17</v>
      </c>
      <c r="W7" s="771">
        <f t="shared" ref="W7:W15" si="2">J7</f>
        <v>100</v>
      </c>
      <c r="X7" s="772"/>
      <c r="Y7" s="3244" t="s">
        <v>2546</v>
      </c>
      <c r="Z7" s="3245"/>
      <c r="AA7" s="773">
        <f>D7/F7</f>
        <v>1</v>
      </c>
      <c r="AB7" s="773">
        <f>D7/H7</f>
        <v>1</v>
      </c>
      <c r="AC7" s="2670">
        <f>D7/J7</f>
        <v>1</v>
      </c>
    </row>
    <row r="8" spans="1:29" s="117" customFormat="1" ht="15.75" thickBot="1">
      <c r="A8" s="408" t="s">
        <v>2547</v>
      </c>
      <c r="B8" s="409"/>
      <c r="C8" s="414" t="s">
        <v>2649</v>
      </c>
      <c r="D8" s="411">
        <v>100</v>
      </c>
      <c r="E8" s="414" t="s">
        <v>3098</v>
      </c>
      <c r="F8" s="413">
        <f>SUMIF(62:62,E8,63:63)-SUMIF(62:62,C8,63:63)+100</f>
        <v>100</v>
      </c>
      <c r="G8" s="414" t="s">
        <v>3098</v>
      </c>
      <c r="H8" s="411">
        <f>SUMIF(62:62,G8,63:63)-SUMIF(62:62,C8,63:63)+100</f>
        <v>100</v>
      </c>
      <c r="I8" s="414" t="s">
        <v>3098</v>
      </c>
      <c r="J8" s="411">
        <f>SUMIF(62:62,I8,63:63)-SUMIF(62:62,C8,63:63)+100</f>
        <v>100</v>
      </c>
      <c r="K8" s="611"/>
      <c r="L8" s="1132"/>
      <c r="M8" s="1133"/>
      <c r="N8" s="1133"/>
      <c r="O8" s="1133"/>
      <c r="P8" s="3265" t="s">
        <v>2549</v>
      </c>
      <c r="Q8" s="3245"/>
      <c r="R8" s="770" t="s">
        <v>17</v>
      </c>
      <c r="S8" s="771">
        <f t="shared" si="0"/>
        <v>100</v>
      </c>
      <c r="T8" s="770" t="s">
        <v>17</v>
      </c>
      <c r="U8" s="771">
        <f t="shared" si="1"/>
        <v>100</v>
      </c>
      <c r="V8" s="770" t="s">
        <v>17</v>
      </c>
      <c r="W8" s="771">
        <f t="shared" si="2"/>
        <v>100</v>
      </c>
      <c r="X8" s="772"/>
      <c r="Y8" s="3244" t="s">
        <v>2549</v>
      </c>
      <c r="Z8" s="3245"/>
      <c r="AA8" s="773">
        <f t="shared" ref="AA8:AA47" si="3">D8/F8</f>
        <v>1</v>
      </c>
      <c r="AB8" s="773">
        <f t="shared" ref="AB8:AB47" si="4">D8/H8</f>
        <v>1</v>
      </c>
      <c r="AC8" s="2670">
        <f t="shared" ref="AC8:AC47" si="5">D8/J8</f>
        <v>1</v>
      </c>
    </row>
    <row r="9" spans="1:29" s="117" customFormat="1">
      <c r="A9" s="415" t="s">
        <v>2550</v>
      </c>
      <c r="B9" s="71" t="s">
        <v>2551</v>
      </c>
      <c r="C9" s="2964" t="s">
        <v>3137</v>
      </c>
      <c r="D9" s="135">
        <v>100</v>
      </c>
      <c r="E9" s="419" t="s">
        <v>27</v>
      </c>
      <c r="F9" s="135">
        <f>SUMIF(64:64,E9,65:65)-SUMIF(64:64,C9,65:65)+100</f>
        <v>100</v>
      </c>
      <c r="G9" s="419" t="s">
        <v>27</v>
      </c>
      <c r="H9" s="135">
        <f>SUMIF(64:64,G9,65:65)-SUMIF(64:64,C9,65:65)+100</f>
        <v>100</v>
      </c>
      <c r="I9" s="419" t="s">
        <v>27</v>
      </c>
      <c r="J9" s="135">
        <f>SUMIF(64:64,I9,65:65)-SUMIF(64:64,C9,65:65)+100</f>
        <v>100</v>
      </c>
      <c r="K9" s="611"/>
      <c r="L9" s="1132"/>
      <c r="M9" s="1133"/>
      <c r="N9" s="1133"/>
      <c r="O9" s="1133"/>
      <c r="P9" s="3219"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2670">
        <f t="shared" si="5"/>
        <v>1</v>
      </c>
    </row>
    <row r="10" spans="1:29" s="427" customFormat="1" ht="27.75" thickBot="1">
      <c r="A10" s="421"/>
      <c r="B10" s="422" t="s">
        <v>2554</v>
      </c>
      <c r="C10" s="423" t="s">
        <v>3099</v>
      </c>
      <c r="D10" s="136">
        <v>100</v>
      </c>
      <c r="E10" s="423" t="s">
        <v>3099</v>
      </c>
      <c r="F10" s="136">
        <f>SUMIF(66:66,E10,67:67)-SUMIF(66:66,C10,67:67)+100</f>
        <v>100</v>
      </c>
      <c r="G10" s="423" t="s">
        <v>3099</v>
      </c>
      <c r="H10" s="136">
        <f>SUMIF(66:66,G10,67:67)-SUMIF(66:66,C10,67:67)+100</f>
        <v>100</v>
      </c>
      <c r="I10" s="423" t="s">
        <v>3099</v>
      </c>
      <c r="J10" s="136">
        <f>SUMIF(66:66,I10,67:67)-SUMIF(66:66,C10,67:67)+100</f>
        <v>100</v>
      </c>
      <c r="K10" s="612">
        <v>1</v>
      </c>
      <c r="L10" s="1135"/>
      <c r="M10" s="1136"/>
      <c r="N10" s="1136"/>
      <c r="O10" s="1136"/>
      <c r="P10" s="3219"/>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2670">
        <f t="shared" si="5"/>
        <v>1</v>
      </c>
    </row>
    <row r="11" spans="1:29" ht="15.75" hidden="1" thickBot="1">
      <c r="A11" s="428"/>
      <c r="B11" s="422" t="s">
        <v>2555</v>
      </c>
      <c r="C11" s="429"/>
      <c r="D11" s="136">
        <v>100</v>
      </c>
      <c r="E11" s="429"/>
      <c r="F11" s="136">
        <f>LOOKUP(E11,69:69,70:70)-LOOKUP(C11,69:69,70:70)+100</f>
        <v>100</v>
      </c>
      <c r="G11" s="430"/>
      <c r="H11" s="136">
        <f>LOOKUP(G11,69:69,70:70)-LOOKUP(C11,69:69,70:70)+100</f>
        <v>100</v>
      </c>
      <c r="I11" s="429"/>
      <c r="J11" s="136">
        <f>LOOKUP(I11,69:69,70:70)-LOOKUP(C11,69:69,70:70)+100</f>
        <v>100</v>
      </c>
      <c r="K11" s="612">
        <v>0</v>
      </c>
      <c r="L11" s="1138"/>
      <c r="M11" s="1131"/>
      <c r="N11" s="1131"/>
      <c r="O11" s="1131"/>
      <c r="P11" s="3219"/>
      <c r="Q11" s="1795" t="str">
        <f t="shared" si="6"/>
        <v>容积率</v>
      </c>
      <c r="R11" s="770" t="s">
        <v>17</v>
      </c>
      <c r="S11" s="771">
        <f t="shared" si="0"/>
        <v>100</v>
      </c>
      <c r="T11" s="770" t="s">
        <v>17</v>
      </c>
      <c r="U11" s="771">
        <f t="shared" si="1"/>
        <v>100</v>
      </c>
      <c r="V11" s="770" t="s">
        <v>17</v>
      </c>
      <c r="W11" s="771">
        <f t="shared" si="2"/>
        <v>100</v>
      </c>
      <c r="X11" s="772"/>
      <c r="Y11" s="3010"/>
      <c r="Z11" s="55" t="str">
        <f t="shared" si="7"/>
        <v>容积率</v>
      </c>
      <c r="AA11" s="773">
        <f t="shared" si="3"/>
        <v>1</v>
      </c>
      <c r="AB11" s="773">
        <f t="shared" si="4"/>
        <v>1</v>
      </c>
      <c r="AC11" s="2670">
        <f t="shared" si="5"/>
        <v>1</v>
      </c>
    </row>
    <row r="12" spans="1:29" s="117" customFormat="1" ht="15.75" hidden="1" thickBot="1">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219"/>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2670">
        <f>D12/J12</f>
        <v>1</v>
      </c>
    </row>
    <row r="13" spans="1:29" ht="15.75" hidden="1" thickBot="1">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219"/>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2670">
        <f t="shared" si="5"/>
        <v>1</v>
      </c>
    </row>
    <row r="14" spans="1:29" ht="15.75" hidden="1" thickBot="1">
      <c r="A14" s="436"/>
      <c r="B14" s="2601">
        <v>111</v>
      </c>
      <c r="C14" s="437"/>
      <c r="D14" s="438">
        <v>100</v>
      </c>
      <c r="E14" s="628"/>
      <c r="F14" s="438">
        <f>SUMIF(75:75,E14,76:76)-SUMIF(75:75,C14,76:76)+100</f>
        <v>100</v>
      </c>
      <c r="G14" s="2671"/>
      <c r="H14" s="438">
        <f>SUMIF(75:75,G14,76:76)-SUMIF(75:75,C14,76:76)+100</f>
        <v>100</v>
      </c>
      <c r="I14" s="628"/>
      <c r="J14" s="438">
        <f>SUMIF(75:75,I14,76:76)-SUMIF(75:75,C14,76:76)+100</f>
        <v>100</v>
      </c>
      <c r="K14" s="613"/>
      <c r="L14" s="1140"/>
      <c r="M14" s="1131"/>
      <c r="N14" s="1131"/>
      <c r="O14" s="1131"/>
      <c r="P14" s="3219"/>
      <c r="Q14" s="1795">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2670">
        <f t="shared" si="5"/>
        <v>1</v>
      </c>
    </row>
    <row r="15" spans="1:29" ht="15">
      <c r="A15" s="440" t="s">
        <v>2556</v>
      </c>
      <c r="B15" s="629" t="s">
        <v>2684</v>
      </c>
      <c r="C15" s="2672" t="str">
        <f>估价对象房地状况!C5</f>
        <v>较好</v>
      </c>
      <c r="D15" s="441">
        <v>100</v>
      </c>
      <c r="E15" s="444"/>
      <c r="F15" s="441">
        <f>SUMIF(77:77,E16,78:78)-SUMIF(77:77,C16,78:78)+100</f>
        <v>100</v>
      </c>
      <c r="G15" s="442"/>
      <c r="H15" s="441">
        <f>SUMIF(77:77,G16,78:78)-SUMIF(77:77,C16,78:78)+100</f>
        <v>100</v>
      </c>
      <c r="I15" s="444"/>
      <c r="J15" s="441">
        <f>SUMIF(77:77,I16,78:78)-SUMIF(77:77,C16,78:78)+100</f>
        <v>100</v>
      </c>
      <c r="K15" s="614">
        <v>2</v>
      </c>
      <c r="L15" s="1140"/>
      <c r="M15" s="1131"/>
      <c r="N15" s="1131"/>
      <c r="O15" s="1131"/>
      <c r="P15" s="3217" t="s">
        <v>2557</v>
      </c>
      <c r="Q15" s="1810" t="str">
        <f t="shared" si="6"/>
        <v>办公集聚程度</v>
      </c>
      <c r="R15" s="774" t="s">
        <v>17</v>
      </c>
      <c r="S15" s="775">
        <f t="shared" si="0"/>
        <v>100</v>
      </c>
      <c r="T15" s="774" t="s">
        <v>17</v>
      </c>
      <c r="U15" s="775">
        <f t="shared" si="1"/>
        <v>100</v>
      </c>
      <c r="V15" s="774" t="s">
        <v>17</v>
      </c>
      <c r="W15" s="775">
        <f t="shared" si="2"/>
        <v>100</v>
      </c>
      <c r="X15" s="1813"/>
      <c r="Y15" s="3210" t="s">
        <v>2557</v>
      </c>
      <c r="Z15" s="1814" t="str">
        <f t="shared" si="7"/>
        <v>办公集聚程度</v>
      </c>
      <c r="AA15" s="1811">
        <f t="shared" si="3"/>
        <v>1</v>
      </c>
      <c r="AB15" s="1811">
        <f t="shared" si="4"/>
        <v>1</v>
      </c>
      <c r="AC15" s="2673">
        <f t="shared" si="5"/>
        <v>1</v>
      </c>
    </row>
    <row r="16" spans="1:29" ht="15">
      <c r="A16" s="428"/>
      <c r="B16" s="630"/>
      <c r="C16" s="2610" t="s">
        <v>3088</v>
      </c>
      <c r="D16" s="448"/>
      <c r="E16" s="2610" t="s">
        <v>3088</v>
      </c>
      <c r="F16" s="448"/>
      <c r="G16" s="2610" t="s">
        <v>3088</v>
      </c>
      <c r="H16" s="450"/>
      <c r="I16" s="2610" t="s">
        <v>3088</v>
      </c>
      <c r="J16" s="448"/>
      <c r="K16" s="615"/>
      <c r="L16" s="1140"/>
      <c r="M16" s="1131"/>
      <c r="N16" s="1131"/>
      <c r="O16" s="1131"/>
      <c r="P16" s="3218"/>
      <c r="Q16" s="1810"/>
      <c r="R16" s="774"/>
      <c r="S16" s="775"/>
      <c r="T16" s="774"/>
      <c r="U16" s="775"/>
      <c r="V16" s="774"/>
      <c r="W16" s="775"/>
      <c r="X16" s="1813"/>
      <c r="Y16" s="3211"/>
      <c r="Z16" s="1814"/>
      <c r="AA16" s="1811">
        <v>1</v>
      </c>
      <c r="AB16" s="1811">
        <v>1</v>
      </c>
      <c r="AC16" s="2673">
        <v>1</v>
      </c>
    </row>
    <row r="17" spans="1:29" ht="15">
      <c r="A17" s="428"/>
      <c r="B17" s="631" t="s">
        <v>2094</v>
      </c>
      <c r="C17" s="2674" t="str">
        <f>估价对象房地状况!C6</f>
        <v>较好</v>
      </c>
      <c r="D17" s="450">
        <v>100</v>
      </c>
      <c r="E17" s="454"/>
      <c r="F17" s="450">
        <f>SUMIF(79:79,E18,80:80)-SUMIF(79:79,C18,80:80)+100</f>
        <v>100</v>
      </c>
      <c r="G17" s="452"/>
      <c r="H17" s="455">
        <f>SUMIF(79:79,G18,80:80)-SUMIF(79:79,C18,80:80)+100</f>
        <v>100</v>
      </c>
      <c r="I17" s="454"/>
      <c r="J17" s="455">
        <f>SUMIF(79:79,I18,80:80)-SUMIF(79:79,C18,80:80)+100</f>
        <v>100</v>
      </c>
      <c r="K17" s="614">
        <v>2</v>
      </c>
      <c r="L17" s="1140"/>
      <c r="M17" s="1131"/>
      <c r="N17" s="1131"/>
      <c r="O17" s="1131"/>
      <c r="P17" s="3218"/>
      <c r="Q17" s="1810" t="str">
        <f>B17</f>
        <v>交通便捷度</v>
      </c>
      <c r="R17" s="774" t="s">
        <v>17</v>
      </c>
      <c r="S17" s="775">
        <f>F17</f>
        <v>100</v>
      </c>
      <c r="T17" s="774" t="s">
        <v>17</v>
      </c>
      <c r="U17" s="775">
        <f>H17</f>
        <v>100</v>
      </c>
      <c r="V17" s="774" t="s">
        <v>17</v>
      </c>
      <c r="W17" s="775">
        <f>J17</f>
        <v>100</v>
      </c>
      <c r="X17" s="1813"/>
      <c r="Y17" s="3211"/>
      <c r="Z17" s="1814" t="str">
        <f>Q17</f>
        <v>交通便捷度</v>
      </c>
      <c r="AA17" s="1811">
        <f t="shared" si="3"/>
        <v>1</v>
      </c>
      <c r="AB17" s="1811">
        <f t="shared" si="4"/>
        <v>1</v>
      </c>
      <c r="AC17" s="2673">
        <f t="shared" si="5"/>
        <v>1</v>
      </c>
    </row>
    <row r="18" spans="1:29" ht="15">
      <c r="A18" s="428"/>
      <c r="B18" s="632"/>
      <c r="C18" s="2675" t="s">
        <v>3088</v>
      </c>
      <c r="D18" s="450"/>
      <c r="E18" s="2610" t="s">
        <v>3088</v>
      </c>
      <c r="F18" s="450"/>
      <c r="G18" s="2610" t="s">
        <v>3088</v>
      </c>
      <c r="H18" s="448"/>
      <c r="I18" s="2610" t="s">
        <v>3088</v>
      </c>
      <c r="J18" s="448"/>
      <c r="K18" s="615"/>
      <c r="L18" s="1140"/>
      <c r="M18" s="1131"/>
      <c r="N18" s="1131"/>
      <c r="O18" s="1131"/>
      <c r="P18" s="3218"/>
      <c r="Q18" s="1810"/>
      <c r="R18" s="774"/>
      <c r="S18" s="775"/>
      <c r="T18" s="774"/>
      <c r="U18" s="775"/>
      <c r="V18" s="774"/>
      <c r="W18" s="775"/>
      <c r="X18" s="1813"/>
      <c r="Y18" s="3211"/>
      <c r="Z18" s="1814"/>
      <c r="AA18" s="1811">
        <v>1</v>
      </c>
      <c r="AB18" s="1811">
        <v>1</v>
      </c>
      <c r="AC18" s="2673">
        <v>1</v>
      </c>
    </row>
    <row r="19" spans="1:29" ht="15">
      <c r="A19" s="428"/>
      <c r="B19" s="631" t="s">
        <v>2685</v>
      </c>
      <c r="C19" s="2674" t="str">
        <f>估价对象房地状况!C7</f>
        <v>较好</v>
      </c>
      <c r="D19" s="455">
        <v>100</v>
      </c>
      <c r="E19" s="459"/>
      <c r="F19" s="455">
        <f>SUMIF(81:81,E20,82:82)-SUMIF(81:81,C20,82:82)+100</f>
        <v>100</v>
      </c>
      <c r="G19" s="457"/>
      <c r="H19" s="450">
        <f>SUMIF(81:81,G20,82:82)-SUMIF(81:81,C20,82:82)+100</f>
        <v>100</v>
      </c>
      <c r="I19" s="459"/>
      <c r="J19" s="450">
        <f>SUMIF(81:81,I20,82:82)-SUMIF(81:81,C20,82:82)+100</f>
        <v>100</v>
      </c>
      <c r="K19" s="614">
        <v>2</v>
      </c>
      <c r="L19" s="1140"/>
      <c r="M19" s="1131"/>
      <c r="N19" s="1131"/>
      <c r="O19" s="1131"/>
      <c r="P19" s="3218"/>
      <c r="Q19" s="1810" t="str">
        <f>B19</f>
        <v>公共配套设施</v>
      </c>
      <c r="R19" s="774" t="s">
        <v>17</v>
      </c>
      <c r="S19" s="775">
        <f>F19</f>
        <v>100</v>
      </c>
      <c r="T19" s="774" t="s">
        <v>17</v>
      </c>
      <c r="U19" s="775">
        <f>H19</f>
        <v>100</v>
      </c>
      <c r="V19" s="774" t="s">
        <v>17</v>
      </c>
      <c r="W19" s="775">
        <f>J19</f>
        <v>100</v>
      </c>
      <c r="X19" s="1813"/>
      <c r="Y19" s="3211"/>
      <c r="Z19" s="1814" t="str">
        <f>Q19</f>
        <v>公共配套设施</v>
      </c>
      <c r="AA19" s="1811">
        <f t="shared" si="3"/>
        <v>1</v>
      </c>
      <c r="AB19" s="1811">
        <f t="shared" si="4"/>
        <v>1</v>
      </c>
      <c r="AC19" s="2673">
        <f t="shared" si="5"/>
        <v>1</v>
      </c>
    </row>
    <row r="20" spans="1:29" ht="15">
      <c r="A20" s="428"/>
      <c r="B20" s="632"/>
      <c r="C20" s="2610" t="s">
        <v>3088</v>
      </c>
      <c r="D20" s="448"/>
      <c r="E20" s="2603" t="s">
        <v>3088</v>
      </c>
      <c r="F20" s="448"/>
      <c r="G20" s="2604" t="s">
        <v>3088</v>
      </c>
      <c r="H20" s="448"/>
      <c r="I20" s="2603" t="s">
        <v>3088</v>
      </c>
      <c r="J20" s="448"/>
      <c r="K20" s="615"/>
      <c r="L20" s="1140"/>
      <c r="M20" s="1131"/>
      <c r="N20" s="1131"/>
      <c r="O20" s="1131"/>
      <c r="P20" s="3218"/>
      <c r="Q20" s="1810"/>
      <c r="R20" s="774"/>
      <c r="S20" s="775"/>
      <c r="T20" s="774"/>
      <c r="U20" s="775"/>
      <c r="V20" s="774"/>
      <c r="W20" s="775"/>
      <c r="X20" s="1813"/>
      <c r="Y20" s="3211"/>
      <c r="Z20" s="1814"/>
      <c r="AA20" s="1811">
        <v>1</v>
      </c>
      <c r="AB20" s="1811">
        <v>1</v>
      </c>
      <c r="AC20" s="2673">
        <v>1</v>
      </c>
    </row>
    <row r="21" spans="1:29" ht="15">
      <c r="A21" s="428"/>
      <c r="B21" s="633" t="s">
        <v>2686</v>
      </c>
      <c r="C21" s="2674" t="str">
        <f>估价对象房地状况!C8</f>
        <v>七通</v>
      </c>
      <c r="D21" s="450">
        <v>100</v>
      </c>
      <c r="E21" s="459"/>
      <c r="F21" s="455">
        <f>SUMIF(83:83,E22,84:84)-SUMIF(83:83,C22,84:84)+100</f>
        <v>100</v>
      </c>
      <c r="G21" s="457"/>
      <c r="H21" s="450">
        <f>SUMIF(83:83,G22,84:84)-SUMIF(83:83,C22,84:84)+100</f>
        <v>100</v>
      </c>
      <c r="I21" s="459"/>
      <c r="J21" s="450">
        <f>SUMIF(83:83,I22,84:84)-SUMIF(83:83,C22,84:84)+100</f>
        <v>100</v>
      </c>
      <c r="K21" s="614">
        <v>2</v>
      </c>
      <c r="L21" s="1140"/>
      <c r="M21" s="1131"/>
      <c r="N21" s="1131"/>
      <c r="O21" s="1131"/>
      <c r="P21" s="3218"/>
      <c r="Q21" s="1810" t="str">
        <f>B21</f>
        <v>基础设施水平</v>
      </c>
      <c r="R21" s="774" t="s">
        <v>17</v>
      </c>
      <c r="S21" s="775">
        <f>F21</f>
        <v>100</v>
      </c>
      <c r="T21" s="774" t="s">
        <v>17</v>
      </c>
      <c r="U21" s="775">
        <f>H21</f>
        <v>100</v>
      </c>
      <c r="V21" s="774" t="s">
        <v>17</v>
      </c>
      <c r="W21" s="775">
        <f>J21</f>
        <v>100</v>
      </c>
      <c r="X21" s="1813"/>
      <c r="Y21" s="3211"/>
      <c r="Z21" s="1814" t="str">
        <f>Q21</f>
        <v>基础设施水平</v>
      </c>
      <c r="AA21" s="1811">
        <f t="shared" ref="AA21" si="8">D21/F21</f>
        <v>1</v>
      </c>
      <c r="AB21" s="1811">
        <f t="shared" ref="AB21" si="9">D21/H21</f>
        <v>1</v>
      </c>
      <c r="AC21" s="2673">
        <f t="shared" ref="AC21" si="10">D21/J21</f>
        <v>1</v>
      </c>
    </row>
    <row r="22" spans="1:29" ht="15">
      <c r="A22" s="428"/>
      <c r="B22" s="633"/>
      <c r="C22" s="2675" t="s">
        <v>3100</v>
      </c>
      <c r="D22" s="448"/>
      <c r="E22" s="447" t="s">
        <v>3100</v>
      </c>
      <c r="F22" s="448"/>
      <c r="G22" s="2610" t="s">
        <v>3100</v>
      </c>
      <c r="H22" s="448"/>
      <c r="I22" s="447" t="s">
        <v>3100</v>
      </c>
      <c r="J22" s="448"/>
      <c r="K22" s="1383"/>
      <c r="L22" s="1140"/>
      <c r="M22" s="1131"/>
      <c r="N22" s="1131"/>
      <c r="O22" s="1131"/>
      <c r="P22" s="3218"/>
      <c r="Q22" s="1810"/>
      <c r="R22" s="774"/>
      <c r="S22" s="775"/>
      <c r="T22" s="774"/>
      <c r="U22" s="775"/>
      <c r="V22" s="774"/>
      <c r="W22" s="775"/>
      <c r="X22" s="1813"/>
      <c r="Y22" s="3211"/>
      <c r="Z22" s="1814"/>
      <c r="AA22" s="1811">
        <v>1</v>
      </c>
      <c r="AB22" s="1811">
        <v>1</v>
      </c>
      <c r="AC22" s="2673">
        <v>1</v>
      </c>
    </row>
    <row r="23" spans="1:29" ht="15">
      <c r="A23" s="428"/>
      <c r="B23" s="631" t="s">
        <v>2687</v>
      </c>
      <c r="C23" s="2674" t="str">
        <f>估价对象房地状况!C9</f>
        <v>较好</v>
      </c>
      <c r="D23" s="450">
        <v>100</v>
      </c>
      <c r="E23" s="454"/>
      <c r="F23" s="450">
        <f>SUMIF(85:85,E24,86:86)-SUMIF(85:85,C24,86:86)+100</f>
        <v>100</v>
      </c>
      <c r="G23" s="452"/>
      <c r="H23" s="450">
        <f>SUMIF(85:85,G24,86:86)-SUMIF(85:85,C24,86:86)+100</f>
        <v>100</v>
      </c>
      <c r="I23" s="454"/>
      <c r="J23" s="450">
        <f>SUMIF(85:85,I24,86:86)-SUMIF(85:85,C24,86:86)+100</f>
        <v>100</v>
      </c>
      <c r="K23" s="614">
        <v>2</v>
      </c>
      <c r="L23" s="1140"/>
      <c r="M23" s="1131"/>
      <c r="N23" s="1131"/>
      <c r="O23" s="1131"/>
      <c r="P23" s="3218"/>
      <c r="Q23" s="1810" t="str">
        <f>B23</f>
        <v>环境质量</v>
      </c>
      <c r="R23" s="774" t="s">
        <v>17</v>
      </c>
      <c r="S23" s="775">
        <f>F23</f>
        <v>100</v>
      </c>
      <c r="T23" s="774" t="s">
        <v>17</v>
      </c>
      <c r="U23" s="775">
        <f>H23</f>
        <v>100</v>
      </c>
      <c r="V23" s="774" t="s">
        <v>17</v>
      </c>
      <c r="W23" s="775">
        <f>J23</f>
        <v>100</v>
      </c>
      <c r="X23" s="1813"/>
      <c r="Y23" s="3211"/>
      <c r="Z23" s="1814" t="str">
        <f>Q23</f>
        <v>环境质量</v>
      </c>
      <c r="AA23" s="1811">
        <f t="shared" si="3"/>
        <v>1</v>
      </c>
      <c r="AB23" s="1811">
        <f t="shared" si="4"/>
        <v>1</v>
      </c>
      <c r="AC23" s="2673">
        <f t="shared" si="5"/>
        <v>1</v>
      </c>
    </row>
    <row r="24" spans="1:29" ht="15">
      <c r="A24" s="428"/>
      <c r="B24" s="633"/>
      <c r="C24" s="2610" t="s">
        <v>3088</v>
      </c>
      <c r="D24" s="448"/>
      <c r="E24" s="2603" t="s">
        <v>3088</v>
      </c>
      <c r="F24" s="448"/>
      <c r="G24" s="2604" t="s">
        <v>3088</v>
      </c>
      <c r="H24" s="448"/>
      <c r="I24" s="2603" t="s">
        <v>3088</v>
      </c>
      <c r="J24" s="448"/>
      <c r="K24" s="615"/>
      <c r="L24" s="1140"/>
      <c r="M24" s="1131"/>
      <c r="N24" s="1131"/>
      <c r="O24" s="1131"/>
      <c r="P24" s="3218"/>
      <c r="Q24" s="1810"/>
      <c r="R24" s="774"/>
      <c r="S24" s="775"/>
      <c r="T24" s="774"/>
      <c r="U24" s="775"/>
      <c r="V24" s="774"/>
      <c r="W24" s="775"/>
      <c r="X24" s="1813"/>
      <c r="Y24" s="3211"/>
      <c r="Z24" s="1814"/>
      <c r="AA24" s="1811">
        <v>1</v>
      </c>
      <c r="AB24" s="1811">
        <v>1</v>
      </c>
      <c r="AC24" s="2673">
        <v>1</v>
      </c>
    </row>
    <row r="25" spans="1:29" ht="27.75">
      <c r="A25" s="404"/>
      <c r="B25" s="631" t="s">
        <v>2688</v>
      </c>
      <c r="C25" s="2614" t="s">
        <v>3101</v>
      </c>
      <c r="D25" s="435">
        <v>100</v>
      </c>
      <c r="E25" s="2614" t="s">
        <v>3101</v>
      </c>
      <c r="F25" s="435">
        <f>SUMIF(87:87,E26,88:88)-SUMIF(87:87,C26,88:88)+100</f>
        <v>100</v>
      </c>
      <c r="G25" s="2614" t="s">
        <v>3101</v>
      </c>
      <c r="H25" s="435">
        <f>SUMIF(87:87,G26,88:88)-SUMIF(87:87,C26,88:88)+100</f>
        <v>100</v>
      </c>
      <c r="I25" s="2614" t="s">
        <v>3110</v>
      </c>
      <c r="J25" s="435">
        <f>SUMIF(87:87,I26,88:88)-SUMIF(87:87,C26,88:88)+100</f>
        <v>100</v>
      </c>
      <c r="K25" s="614">
        <v>2</v>
      </c>
      <c r="L25" s="1140"/>
      <c r="M25" s="1131"/>
      <c r="N25" s="1131"/>
      <c r="O25" s="1131"/>
      <c r="P25" s="3218"/>
      <c r="Q25" s="1810" t="str">
        <f>B25</f>
        <v>毗邻道路的类型与等级</v>
      </c>
      <c r="R25" s="774" t="s">
        <v>17</v>
      </c>
      <c r="S25" s="775">
        <f>F25</f>
        <v>100</v>
      </c>
      <c r="T25" s="774" t="s">
        <v>17</v>
      </c>
      <c r="U25" s="775">
        <f>H25</f>
        <v>100</v>
      </c>
      <c r="V25" s="774" t="s">
        <v>17</v>
      </c>
      <c r="W25" s="775">
        <f>J25</f>
        <v>100</v>
      </c>
      <c r="X25" s="1813"/>
      <c r="Y25" s="3211"/>
      <c r="Z25" s="1814" t="str">
        <f>Q25</f>
        <v>毗邻道路的类型与等级</v>
      </c>
      <c r="AA25" s="1811">
        <f t="shared" si="3"/>
        <v>1</v>
      </c>
      <c r="AB25" s="1811">
        <f t="shared" si="4"/>
        <v>1</v>
      </c>
      <c r="AC25" s="2673">
        <f t="shared" si="5"/>
        <v>1</v>
      </c>
    </row>
    <row r="26" spans="1:29" ht="15">
      <c r="A26" s="404"/>
      <c r="B26" s="632"/>
      <c r="C26" s="616" t="s">
        <v>3102</v>
      </c>
      <c r="D26" s="435"/>
      <c r="E26" s="616" t="s">
        <v>3102</v>
      </c>
      <c r="F26" s="435"/>
      <c r="G26" s="634" t="s">
        <v>3102</v>
      </c>
      <c r="H26" s="435"/>
      <c r="I26" s="616" t="s">
        <v>3102</v>
      </c>
      <c r="J26" s="435"/>
      <c r="K26" s="615"/>
      <c r="L26" s="1140"/>
      <c r="M26" s="1131"/>
      <c r="N26" s="1131"/>
      <c r="O26" s="1131"/>
      <c r="P26" s="3218"/>
      <c r="Q26" s="1810"/>
      <c r="R26" s="774"/>
      <c r="S26" s="775"/>
      <c r="T26" s="774"/>
      <c r="U26" s="775"/>
      <c r="V26" s="774"/>
      <c r="W26" s="775"/>
      <c r="X26" s="1813"/>
      <c r="Y26" s="3211"/>
      <c r="Z26" s="1814"/>
      <c r="AA26" s="1811">
        <v>1</v>
      </c>
      <c r="AB26" s="1811">
        <v>1</v>
      </c>
      <c r="AC26" s="2673">
        <v>1</v>
      </c>
    </row>
    <row r="27" spans="1:29" ht="15.75" thickBot="1">
      <c r="A27" s="428"/>
      <c r="B27" s="632" t="s">
        <v>2656</v>
      </c>
      <c r="C27" s="634" t="s">
        <v>3103</v>
      </c>
      <c r="D27" s="435">
        <v>100</v>
      </c>
      <c r="E27" s="616" t="s">
        <v>3114</v>
      </c>
      <c r="F27" s="435">
        <f>SUMIF(89:89,E27,90:90)-SUMIF(89:89,C27,90:90)+100</f>
        <v>102</v>
      </c>
      <c r="G27" s="634" t="s">
        <v>3114</v>
      </c>
      <c r="H27" s="435">
        <f>SUMIF(89:89,G27,90:90)-SUMIF(89:89,C27,90:90)+100</f>
        <v>102</v>
      </c>
      <c r="I27" s="616" t="s">
        <v>3103</v>
      </c>
      <c r="J27" s="435">
        <f>SUMIF(89:89,I27,90:90)-SUMIF(89:89,C27,90:90)+100</f>
        <v>100</v>
      </c>
      <c r="K27" s="612">
        <v>2</v>
      </c>
      <c r="L27" s="1140"/>
      <c r="M27" s="1131"/>
      <c r="N27" s="1131"/>
      <c r="O27" s="1131"/>
      <c r="P27" s="3218"/>
      <c r="Q27" s="1810" t="str">
        <f t="shared" ref="Q27:Q47" si="11">B27</f>
        <v>楼层</v>
      </c>
      <c r="R27" s="774" t="s">
        <v>17</v>
      </c>
      <c r="S27" s="775">
        <f>F27</f>
        <v>102</v>
      </c>
      <c r="T27" s="774" t="s">
        <v>17</v>
      </c>
      <c r="U27" s="775">
        <f>H27</f>
        <v>102</v>
      </c>
      <c r="V27" s="774" t="s">
        <v>17</v>
      </c>
      <c r="W27" s="775">
        <f>J27</f>
        <v>100</v>
      </c>
      <c r="X27" s="1813"/>
      <c r="Y27" s="3211"/>
      <c r="Z27" s="1814" t="str">
        <f>Q27</f>
        <v>楼层</v>
      </c>
      <c r="AA27" s="1811">
        <f t="shared" si="3"/>
        <v>0.98039215686274506</v>
      </c>
      <c r="AB27" s="1811">
        <f t="shared" si="4"/>
        <v>0.98039215686274506</v>
      </c>
      <c r="AC27" s="2673">
        <f t="shared" si="5"/>
        <v>1</v>
      </c>
    </row>
    <row r="28" spans="1:29" s="117" customFormat="1" ht="15" hidden="1">
      <c r="A28" s="431"/>
      <c r="B28" s="631" t="s">
        <v>2689</v>
      </c>
      <c r="C28" s="2664"/>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218"/>
      <c r="Q28" s="1795" t="str">
        <f t="shared" si="11"/>
        <v>朝向</v>
      </c>
      <c r="R28" s="770" t="s">
        <v>17</v>
      </c>
      <c r="S28" s="771">
        <f>F28</f>
        <v>100</v>
      </c>
      <c r="T28" s="770" t="s">
        <v>17</v>
      </c>
      <c r="U28" s="771">
        <f>H28</f>
        <v>100</v>
      </c>
      <c r="V28" s="770" t="s">
        <v>17</v>
      </c>
      <c r="W28" s="771">
        <f>J28</f>
        <v>100</v>
      </c>
      <c r="X28" s="772"/>
      <c r="Y28" s="3211"/>
      <c r="Z28" s="55" t="str">
        <f>Q28</f>
        <v>朝向</v>
      </c>
      <c r="AA28" s="1811">
        <f>D28/F28</f>
        <v>1</v>
      </c>
      <c r="AB28" s="1811">
        <f>D28/H28</f>
        <v>1</v>
      </c>
      <c r="AC28" s="2673">
        <f>D28/J28</f>
        <v>1</v>
      </c>
    </row>
    <row r="29" spans="1:29" ht="15" hidden="1">
      <c r="A29" s="428"/>
      <c r="B29" s="2677">
        <v>111</v>
      </c>
      <c r="C29" s="432"/>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218"/>
      <c r="Q29" s="1810">
        <f t="shared" si="11"/>
        <v>111</v>
      </c>
      <c r="R29" s="774" t="s">
        <v>17</v>
      </c>
      <c r="S29" s="775">
        <f t="shared" ref="S29:S47" si="12">F29</f>
        <v>100</v>
      </c>
      <c r="T29" s="774" t="s">
        <v>17</v>
      </c>
      <c r="U29" s="775">
        <f t="shared" ref="U29:U47" si="13">H29</f>
        <v>100</v>
      </c>
      <c r="V29" s="774" t="s">
        <v>17</v>
      </c>
      <c r="W29" s="775">
        <f t="shared" ref="W29:W47" si="14">J29</f>
        <v>100</v>
      </c>
      <c r="X29" s="1813"/>
      <c r="Y29" s="3211"/>
      <c r="Z29" s="1814">
        <f t="shared" ref="Z29:Z47" si="15">Q29</f>
        <v>111</v>
      </c>
      <c r="AA29" s="1811">
        <f t="shared" si="3"/>
        <v>1</v>
      </c>
      <c r="AB29" s="1811">
        <f t="shared" si="4"/>
        <v>1</v>
      </c>
      <c r="AC29" s="2673">
        <f t="shared" si="5"/>
        <v>1</v>
      </c>
    </row>
    <row r="30" spans="1:29" ht="15" hidden="1">
      <c r="A30" s="428"/>
      <c r="B30" s="2677">
        <v>111</v>
      </c>
      <c r="C30" s="432"/>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218"/>
      <c r="Q30" s="1810">
        <f t="shared" si="11"/>
        <v>111</v>
      </c>
      <c r="R30" s="774" t="s">
        <v>17</v>
      </c>
      <c r="S30" s="775">
        <f t="shared" si="12"/>
        <v>100</v>
      </c>
      <c r="T30" s="774" t="s">
        <v>17</v>
      </c>
      <c r="U30" s="775">
        <f t="shared" si="13"/>
        <v>100</v>
      </c>
      <c r="V30" s="774" t="s">
        <v>17</v>
      </c>
      <c r="W30" s="775">
        <f t="shared" si="14"/>
        <v>100</v>
      </c>
      <c r="X30" s="1813"/>
      <c r="Y30" s="3211"/>
      <c r="Z30" s="1814">
        <f t="shared" si="15"/>
        <v>111</v>
      </c>
      <c r="AA30" s="1811">
        <f t="shared" si="3"/>
        <v>1</v>
      </c>
      <c r="AB30" s="1811">
        <f t="shared" si="4"/>
        <v>1</v>
      </c>
      <c r="AC30" s="2673">
        <f t="shared" si="5"/>
        <v>1</v>
      </c>
    </row>
    <row r="31" spans="1:29" ht="15" hidden="1">
      <c r="A31" s="428"/>
      <c r="B31" s="2677">
        <v>111</v>
      </c>
      <c r="C31" s="432"/>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218"/>
      <c r="Q31" s="1810">
        <f t="shared" si="11"/>
        <v>111</v>
      </c>
      <c r="R31" s="774" t="s">
        <v>17</v>
      </c>
      <c r="S31" s="775">
        <f t="shared" si="12"/>
        <v>100</v>
      </c>
      <c r="T31" s="774" t="s">
        <v>17</v>
      </c>
      <c r="U31" s="775">
        <f t="shared" si="13"/>
        <v>100</v>
      </c>
      <c r="V31" s="774" t="s">
        <v>17</v>
      </c>
      <c r="W31" s="775">
        <f t="shared" si="14"/>
        <v>100</v>
      </c>
      <c r="X31" s="1813"/>
      <c r="Y31" s="3211"/>
      <c r="Z31" s="1814">
        <f t="shared" si="15"/>
        <v>111</v>
      </c>
      <c r="AA31" s="1811">
        <f t="shared" si="3"/>
        <v>1</v>
      </c>
      <c r="AB31" s="1811">
        <f t="shared" si="4"/>
        <v>1</v>
      </c>
      <c r="AC31" s="2673">
        <f t="shared" si="5"/>
        <v>1</v>
      </c>
    </row>
    <row r="32" spans="1:29" ht="15.75" hidden="1" thickBot="1">
      <c r="A32" s="436"/>
      <c r="B32" s="635">
        <v>111</v>
      </c>
      <c r="C32" s="628"/>
      <c r="D32" s="438">
        <v>100</v>
      </c>
      <c r="E32" s="628"/>
      <c r="F32" s="438">
        <f>SUMIF(99:99,E32,100:100)-SUMIF(99:99,C32,100:100)+100</f>
        <v>100</v>
      </c>
      <c r="G32" s="2671"/>
      <c r="H32" s="438">
        <f>SUMIF(99:99,G32,100:100)-SUMIF(99:99,C32,100:100)+100</f>
        <v>100</v>
      </c>
      <c r="I32" s="628"/>
      <c r="J32" s="438">
        <f>SUMIF(99:99,I32,100:100)-SUMIF(99:99,C32,100:100)+100</f>
        <v>100</v>
      </c>
      <c r="K32" s="613"/>
      <c r="L32" s="1140"/>
      <c r="M32" s="1131"/>
      <c r="N32" s="1131"/>
      <c r="O32" s="1131"/>
      <c r="P32" s="3218"/>
      <c r="Q32" s="1810">
        <f t="shared" si="11"/>
        <v>111</v>
      </c>
      <c r="R32" s="774" t="s">
        <v>17</v>
      </c>
      <c r="S32" s="775">
        <f t="shared" si="12"/>
        <v>100</v>
      </c>
      <c r="T32" s="774" t="s">
        <v>17</v>
      </c>
      <c r="U32" s="775">
        <f t="shared" si="13"/>
        <v>100</v>
      </c>
      <c r="V32" s="774" t="s">
        <v>17</v>
      </c>
      <c r="W32" s="775">
        <f t="shared" si="14"/>
        <v>100</v>
      </c>
      <c r="X32" s="1813"/>
      <c r="Y32" s="3211"/>
      <c r="Z32" s="1814">
        <f t="shared" si="15"/>
        <v>111</v>
      </c>
      <c r="AA32" s="1811">
        <f t="shared" si="3"/>
        <v>1</v>
      </c>
      <c r="AB32" s="1811">
        <f t="shared" si="4"/>
        <v>1</v>
      </c>
      <c r="AC32" s="2673">
        <f t="shared" si="5"/>
        <v>1</v>
      </c>
    </row>
    <row r="33" spans="1:29" ht="15.75" thickBot="1">
      <c r="A33" s="440" t="s">
        <v>2560</v>
      </c>
      <c r="B33" s="71" t="s">
        <v>2690</v>
      </c>
      <c r="C33" s="2678" t="s">
        <v>3104</v>
      </c>
      <c r="D33" s="467">
        <v>100</v>
      </c>
      <c r="E33" s="2678" t="s">
        <v>3104</v>
      </c>
      <c r="F33" s="467">
        <f>SUMIF(101:101,E33,102:102)-SUMIF(101:101,C33,102:102)+100</f>
        <v>100</v>
      </c>
      <c r="G33" s="2678" t="s">
        <v>3104</v>
      </c>
      <c r="H33" s="467">
        <f>SUMIF(101:101,G33,102:102)-SUMIF(101:101,C33,102:102)+100</f>
        <v>100</v>
      </c>
      <c r="I33" s="2678" t="s">
        <v>3104</v>
      </c>
      <c r="J33" s="467">
        <f>SUMIF(101:101,I33,102:102)-SUMIF(101:101,C33,102:102)+100</f>
        <v>100</v>
      </c>
      <c r="K33" s="612">
        <v>2</v>
      </c>
      <c r="L33" s="1140"/>
      <c r="M33" s="1131"/>
      <c r="N33" s="1131"/>
      <c r="O33" s="1131"/>
      <c r="P33" s="3212" t="s">
        <v>2562</v>
      </c>
      <c r="Q33" s="1810" t="str">
        <f t="shared" si="11"/>
        <v>建筑类型</v>
      </c>
      <c r="R33" s="774" t="s">
        <v>17</v>
      </c>
      <c r="S33" s="775">
        <f t="shared" si="12"/>
        <v>100</v>
      </c>
      <c r="T33" s="774" t="s">
        <v>17</v>
      </c>
      <c r="U33" s="775">
        <f t="shared" si="13"/>
        <v>100</v>
      </c>
      <c r="V33" s="774" t="s">
        <v>17</v>
      </c>
      <c r="W33" s="775">
        <f t="shared" si="14"/>
        <v>100</v>
      </c>
      <c r="X33" s="1813"/>
      <c r="Y33" s="3215" t="s">
        <v>2562</v>
      </c>
      <c r="Z33" s="1814" t="str">
        <f t="shared" si="15"/>
        <v>建筑类型</v>
      </c>
      <c r="AA33" s="1811">
        <f t="shared" si="3"/>
        <v>1</v>
      </c>
      <c r="AB33" s="1811">
        <f t="shared" si="4"/>
        <v>1</v>
      </c>
      <c r="AC33" s="2673">
        <f t="shared" si="5"/>
        <v>1</v>
      </c>
    </row>
    <row r="34" spans="1:29" s="471" customFormat="1" ht="15.75" thickBot="1">
      <c r="A34" s="468"/>
      <c r="B34" s="422" t="s">
        <v>2563</v>
      </c>
      <c r="C34" s="3300">
        <f>'数据-汇总表'!E3</f>
        <v>5028.579999999999</v>
      </c>
      <c r="D34" s="467">
        <v>100</v>
      </c>
      <c r="E34" s="3300">
        <v>500</v>
      </c>
      <c r="F34" s="467">
        <f>LOOKUP(E34,104:104,105:105)-LOOKUP(C34,104:104,105:105)+100</f>
        <v>104</v>
      </c>
      <c r="G34" s="3300">
        <v>300</v>
      </c>
      <c r="H34" s="467">
        <f>LOOKUP(G34,104:104,105:105)-LOOKUP(C34,104:104,105:105)+100</f>
        <v>104</v>
      </c>
      <c r="I34" s="3300">
        <v>600</v>
      </c>
      <c r="J34" s="467">
        <f>LOOKUP(I34,104:104,105:105)-LOOKUP(C34,104:104,105:105)+100</f>
        <v>104</v>
      </c>
      <c r="K34" s="613"/>
      <c r="L34" s="1138"/>
      <c r="M34" s="1141"/>
      <c r="N34" s="1141"/>
      <c r="O34" s="1141"/>
      <c r="P34" s="3213"/>
      <c r="Q34" s="776" t="str">
        <f t="shared" si="11"/>
        <v>项目建筑规模</v>
      </c>
      <c r="R34" s="777" t="s">
        <v>17</v>
      </c>
      <c r="S34" s="778">
        <f t="shared" si="12"/>
        <v>104</v>
      </c>
      <c r="T34" s="777" t="s">
        <v>17</v>
      </c>
      <c r="U34" s="778">
        <f t="shared" si="13"/>
        <v>104</v>
      </c>
      <c r="V34" s="777" t="s">
        <v>17</v>
      </c>
      <c r="W34" s="778">
        <f t="shared" si="14"/>
        <v>104</v>
      </c>
      <c r="X34" s="779"/>
      <c r="Y34" s="3215"/>
      <c r="Z34" s="780" t="str">
        <f t="shared" si="15"/>
        <v>项目建筑规模</v>
      </c>
      <c r="AA34" s="1811">
        <f t="shared" si="3"/>
        <v>0.96153846153846156</v>
      </c>
      <c r="AB34" s="1811">
        <f t="shared" si="4"/>
        <v>0.96153846153846156</v>
      </c>
      <c r="AC34" s="2673">
        <f t="shared" si="5"/>
        <v>0.96153846153846156</v>
      </c>
    </row>
    <row r="35" spans="1:29" ht="15.75" thickBot="1">
      <c r="A35" s="472"/>
      <c r="B35" s="422" t="s">
        <v>2564</v>
      </c>
      <c r="C35" s="460" t="s">
        <v>3096</v>
      </c>
      <c r="D35" s="467">
        <v>100</v>
      </c>
      <c r="E35" s="460" t="s">
        <v>3096</v>
      </c>
      <c r="F35" s="467">
        <f>SUMIF(106:106,E35,107:107)-SUMIF(106:106,C35,107:107)+100</f>
        <v>100</v>
      </c>
      <c r="G35" s="460" t="s">
        <v>3096</v>
      </c>
      <c r="H35" s="467">
        <f>SUMIF(106:106,G35,107:107)-SUMIF(106:106,C35,107:107)+100</f>
        <v>100</v>
      </c>
      <c r="I35" s="460" t="s">
        <v>3096</v>
      </c>
      <c r="J35" s="467">
        <f>SUMIF(106:106,I35,107:107)-SUMIF(106:106,C35,107:107)+100</f>
        <v>100</v>
      </c>
      <c r="K35" s="612">
        <v>3</v>
      </c>
      <c r="L35" s="1140"/>
      <c r="M35" s="1131"/>
      <c r="N35" s="1131"/>
      <c r="O35" s="1131"/>
      <c r="P35" s="3213"/>
      <c r="Q35" s="1810" t="str">
        <f t="shared" si="11"/>
        <v>建筑结构</v>
      </c>
      <c r="R35" s="774" t="s">
        <v>17</v>
      </c>
      <c r="S35" s="775">
        <f t="shared" si="12"/>
        <v>100</v>
      </c>
      <c r="T35" s="774" t="s">
        <v>17</v>
      </c>
      <c r="U35" s="775">
        <f t="shared" si="13"/>
        <v>100</v>
      </c>
      <c r="V35" s="774" t="s">
        <v>17</v>
      </c>
      <c r="W35" s="775">
        <f t="shared" si="14"/>
        <v>100</v>
      </c>
      <c r="X35" s="1813"/>
      <c r="Y35" s="3215"/>
      <c r="Z35" s="1814" t="str">
        <f t="shared" si="15"/>
        <v>建筑结构</v>
      </c>
      <c r="AA35" s="1811">
        <f t="shared" si="3"/>
        <v>1</v>
      </c>
      <c r="AB35" s="1811">
        <f t="shared" si="4"/>
        <v>1</v>
      </c>
      <c r="AC35" s="2673">
        <f t="shared" si="5"/>
        <v>1</v>
      </c>
    </row>
    <row r="36" spans="1:29" ht="15">
      <c r="A36" s="472"/>
      <c r="B36" s="422" t="s">
        <v>2658</v>
      </c>
      <c r="C36" s="460" t="s">
        <v>3105</v>
      </c>
      <c r="D36" s="467">
        <v>100</v>
      </c>
      <c r="E36" s="460" t="s">
        <v>3105</v>
      </c>
      <c r="F36" s="467">
        <f>SUMIF(108:108,E36,109:109)-SUMIF(108:108,C36,109:109)+100</f>
        <v>100</v>
      </c>
      <c r="G36" s="460" t="s">
        <v>3105</v>
      </c>
      <c r="H36" s="467">
        <f>SUMIF(108:108,G36,109:109)-SUMIF(108:108,C36,109:109)+100</f>
        <v>100</v>
      </c>
      <c r="I36" s="460" t="s">
        <v>3105</v>
      </c>
      <c r="J36" s="467">
        <f>SUMIF(108:108,I36,109:109)-SUMIF(108:108,C36,109:109)+100</f>
        <v>100</v>
      </c>
      <c r="K36" s="612">
        <v>2</v>
      </c>
      <c r="L36" s="1140"/>
      <c r="M36" s="1131"/>
      <c r="N36" s="1131"/>
      <c r="O36" s="1131"/>
      <c r="P36" s="3213"/>
      <c r="Q36" s="1810" t="str">
        <f t="shared" si="11"/>
        <v>公共部分装修</v>
      </c>
      <c r="R36" s="774" t="s">
        <v>17</v>
      </c>
      <c r="S36" s="775">
        <f t="shared" si="12"/>
        <v>100</v>
      </c>
      <c r="T36" s="774" t="s">
        <v>17</v>
      </c>
      <c r="U36" s="775">
        <f t="shared" si="13"/>
        <v>100</v>
      </c>
      <c r="V36" s="774" t="s">
        <v>17</v>
      </c>
      <c r="W36" s="775">
        <f t="shared" si="14"/>
        <v>100</v>
      </c>
      <c r="X36" s="1813"/>
      <c r="Y36" s="3215"/>
      <c r="Z36" s="1814" t="str">
        <f t="shared" si="15"/>
        <v>公共部分装修</v>
      </c>
      <c r="AA36" s="1811">
        <f t="shared" si="3"/>
        <v>1</v>
      </c>
      <c r="AB36" s="1811">
        <f t="shared" si="4"/>
        <v>1</v>
      </c>
      <c r="AC36" s="2673">
        <f t="shared" si="5"/>
        <v>1</v>
      </c>
    </row>
    <row r="37" spans="1:29" ht="15">
      <c r="A37" s="472"/>
      <c r="B37" s="422" t="s">
        <v>2659</v>
      </c>
      <c r="C37" s="2961">
        <f>ROUND(1-(1-0)*(2019-2004)/60,2)</f>
        <v>0.75</v>
      </c>
      <c r="D37" s="435">
        <v>100</v>
      </c>
      <c r="E37" s="2961">
        <f>ROUND(1-(1-0)*(2019-2006)/60,2)</f>
        <v>0.78</v>
      </c>
      <c r="F37" s="461">
        <f>LOOKUP(E37,111:111,112:112)-LOOKUP(C37,111:111,112:112)+100</f>
        <v>100</v>
      </c>
      <c r="G37" s="474">
        <f>ROUND(1-(2019-2003)/60,2)</f>
        <v>0.73</v>
      </c>
      <c r="H37" s="461">
        <f>LOOKUP(G37,111:111,112:112)-LOOKUP(C37,111:111,112:112)+100</f>
        <v>100</v>
      </c>
      <c r="I37" s="2961">
        <f>ROUND(1-(1-0)*(2019-2006)/60,2)</f>
        <v>0.78</v>
      </c>
      <c r="J37" s="435">
        <f>LOOKUP(I37,111:111,112:112)-LOOKUP(C37,111:111,112:112)+100</f>
        <v>100</v>
      </c>
      <c r="K37" s="612">
        <v>1</v>
      </c>
      <c r="L37" s="1140"/>
      <c r="M37" s="1131"/>
      <c r="N37" s="1131"/>
      <c r="O37" s="1131"/>
      <c r="P37" s="3213"/>
      <c r="Q37" s="1810" t="str">
        <f t="shared" si="11"/>
        <v>成新度</v>
      </c>
      <c r="R37" s="774" t="s">
        <v>17</v>
      </c>
      <c r="S37" s="775">
        <f t="shared" si="12"/>
        <v>100</v>
      </c>
      <c r="T37" s="774" t="s">
        <v>17</v>
      </c>
      <c r="U37" s="775">
        <f t="shared" si="13"/>
        <v>100</v>
      </c>
      <c r="V37" s="774" t="s">
        <v>17</v>
      </c>
      <c r="W37" s="775">
        <f t="shared" si="14"/>
        <v>100</v>
      </c>
      <c r="X37" s="1813"/>
      <c r="Y37" s="3215"/>
      <c r="Z37" s="1814" t="str">
        <f t="shared" si="15"/>
        <v>成新度</v>
      </c>
      <c r="AA37" s="1811">
        <f t="shared" si="3"/>
        <v>1</v>
      </c>
      <c r="AB37" s="1811">
        <f t="shared" si="4"/>
        <v>1</v>
      </c>
      <c r="AC37" s="2673">
        <f t="shared" si="5"/>
        <v>1</v>
      </c>
    </row>
    <row r="38" spans="1:29" s="117" customFormat="1" ht="15">
      <c r="A38" s="473"/>
      <c r="B38" s="422" t="s">
        <v>2691</v>
      </c>
      <c r="C38" s="460" t="s">
        <v>3106</v>
      </c>
      <c r="D38" s="136">
        <v>100</v>
      </c>
      <c r="E38" s="460" t="s">
        <v>3106</v>
      </c>
      <c r="F38" s="461">
        <f>SUMIF(113:113,E38,114:114)-SUMIF(113:113,C38,114:114)+100</f>
        <v>100</v>
      </c>
      <c r="G38" s="460" t="s">
        <v>3106</v>
      </c>
      <c r="H38" s="435">
        <f>SUMIF(113:113,G38,114:114)-SUMIF(113:113,C38,114:114)+100</f>
        <v>100</v>
      </c>
      <c r="I38" s="460" t="s">
        <v>3106</v>
      </c>
      <c r="J38" s="435">
        <f>SUMIF(113:113,I38,114:114)-SUMIF(113:113,C38,114:114)+100</f>
        <v>100</v>
      </c>
      <c r="K38" s="612">
        <v>2</v>
      </c>
      <c r="L38" s="1132"/>
      <c r="M38" s="1133"/>
      <c r="N38" s="1133"/>
      <c r="O38" s="1133"/>
      <c r="P38" s="3213"/>
      <c r="Q38" s="1795" t="str">
        <f t="shared" si="11"/>
        <v>写字楼等级</v>
      </c>
      <c r="R38" s="770" t="s">
        <v>17</v>
      </c>
      <c r="S38" s="771">
        <f t="shared" si="12"/>
        <v>100</v>
      </c>
      <c r="T38" s="770" t="s">
        <v>17</v>
      </c>
      <c r="U38" s="771">
        <f t="shared" si="13"/>
        <v>100</v>
      </c>
      <c r="V38" s="770" t="s">
        <v>17</v>
      </c>
      <c r="W38" s="771">
        <f t="shared" si="14"/>
        <v>100</v>
      </c>
      <c r="X38" s="772"/>
      <c r="Y38" s="3215"/>
      <c r="Z38" s="55" t="str">
        <f t="shared" si="15"/>
        <v>写字楼等级</v>
      </c>
      <c r="AA38" s="773">
        <f t="shared" si="3"/>
        <v>1</v>
      </c>
      <c r="AB38" s="773">
        <f t="shared" si="4"/>
        <v>1</v>
      </c>
      <c r="AC38" s="2670">
        <f t="shared" si="5"/>
        <v>1</v>
      </c>
    </row>
    <row r="39" spans="1:29" ht="15">
      <c r="A39" s="472"/>
      <c r="B39" s="422" t="s">
        <v>2692</v>
      </c>
      <c r="C39" s="460" t="s">
        <v>3107</v>
      </c>
      <c r="D39" s="435">
        <v>100</v>
      </c>
      <c r="E39" s="460" t="s">
        <v>3107</v>
      </c>
      <c r="F39" s="461">
        <f>SUMIF(115:115,E39,116:116)-SUMIF(115:115,C39,116:116)+100</f>
        <v>100</v>
      </c>
      <c r="G39" s="460" t="s">
        <v>3107</v>
      </c>
      <c r="H39" s="435">
        <f>SUMIF(115:115,G39,116:116)-SUMIF(115:115,C39,116:116)+100</f>
        <v>100</v>
      </c>
      <c r="I39" s="460" t="s">
        <v>3107</v>
      </c>
      <c r="J39" s="435">
        <f>SUMIF(115:115,I39,116:116)-SUMIF(115:115,C39,116:116)+100</f>
        <v>100</v>
      </c>
      <c r="K39" s="612">
        <v>1</v>
      </c>
      <c r="L39" s="1140"/>
      <c r="M39" s="1131"/>
      <c r="N39" s="1131"/>
      <c r="O39" s="1131"/>
      <c r="P39" s="3213" t="s">
        <v>2562</v>
      </c>
      <c r="Q39" s="1810" t="str">
        <f t="shared" si="11"/>
        <v>物业管理</v>
      </c>
      <c r="R39" s="774" t="s">
        <v>17</v>
      </c>
      <c r="S39" s="775">
        <f t="shared" si="12"/>
        <v>100</v>
      </c>
      <c r="T39" s="774" t="s">
        <v>17</v>
      </c>
      <c r="U39" s="775">
        <f t="shared" si="13"/>
        <v>100</v>
      </c>
      <c r="V39" s="774" t="s">
        <v>17</v>
      </c>
      <c r="W39" s="775">
        <f t="shared" si="14"/>
        <v>100</v>
      </c>
      <c r="X39" s="1813"/>
      <c r="Y39" s="3215" t="s">
        <v>2562</v>
      </c>
      <c r="Z39" s="1814" t="str">
        <f t="shared" si="15"/>
        <v>物业管理</v>
      </c>
      <c r="AA39" s="1811">
        <f t="shared" si="3"/>
        <v>1</v>
      </c>
      <c r="AB39" s="1811">
        <f t="shared" si="4"/>
        <v>1</v>
      </c>
      <c r="AC39" s="2673">
        <f t="shared" si="5"/>
        <v>1</v>
      </c>
    </row>
    <row r="40" spans="1:29" ht="15">
      <c r="A40" s="472"/>
      <c r="B40" s="422" t="s">
        <v>2660</v>
      </c>
      <c r="C40" s="460" t="s">
        <v>3108</v>
      </c>
      <c r="D40" s="435">
        <v>100</v>
      </c>
      <c r="E40" s="460" t="s">
        <v>3108</v>
      </c>
      <c r="F40" s="461">
        <f>SUMIF(117:117,E40,118:118)-SUMIF(117:117,C40,118:118)+100</f>
        <v>100</v>
      </c>
      <c r="G40" s="460" t="s">
        <v>3115</v>
      </c>
      <c r="H40" s="435">
        <f>SUMIF(117:117,G40,118:118)-SUMIF(117:117,C40,118:118)+100</f>
        <v>102</v>
      </c>
      <c r="I40" s="460" t="s">
        <v>3108</v>
      </c>
      <c r="J40" s="435">
        <f>SUMIF(117:117,I40,118:118)-SUMIF(117:117,C40,118:118)+100</f>
        <v>100</v>
      </c>
      <c r="K40" s="612">
        <v>2</v>
      </c>
      <c r="L40" s="1140"/>
      <c r="M40" s="1131"/>
      <c r="N40" s="1131"/>
      <c r="O40" s="1131"/>
      <c r="P40" s="3213"/>
      <c r="Q40" s="1810" t="str">
        <f t="shared" si="11"/>
        <v>市政基础设施</v>
      </c>
      <c r="R40" s="774" t="s">
        <v>17</v>
      </c>
      <c r="S40" s="775">
        <f t="shared" si="12"/>
        <v>100</v>
      </c>
      <c r="T40" s="774" t="s">
        <v>17</v>
      </c>
      <c r="U40" s="775">
        <f t="shared" si="13"/>
        <v>102</v>
      </c>
      <c r="V40" s="774" t="s">
        <v>17</v>
      </c>
      <c r="W40" s="775">
        <f t="shared" si="14"/>
        <v>100</v>
      </c>
      <c r="X40" s="1813"/>
      <c r="Y40" s="3215"/>
      <c r="Z40" s="1814" t="str">
        <f t="shared" si="15"/>
        <v>市政基础设施</v>
      </c>
      <c r="AA40" s="1811">
        <f t="shared" si="3"/>
        <v>1</v>
      </c>
      <c r="AB40" s="1811">
        <f t="shared" si="4"/>
        <v>0.98039215686274506</v>
      </c>
      <c r="AC40" s="2673">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3"/>
      <c r="Q41" s="1810" t="str">
        <f t="shared" si="11"/>
        <v>层高</v>
      </c>
      <c r="R41" s="774" t="s">
        <v>17</v>
      </c>
      <c r="S41" s="775">
        <f t="shared" si="12"/>
        <v>100</v>
      </c>
      <c r="T41" s="774" t="s">
        <v>17</v>
      </c>
      <c r="U41" s="775">
        <f t="shared" si="13"/>
        <v>100</v>
      </c>
      <c r="V41" s="774" t="s">
        <v>17</v>
      </c>
      <c r="W41" s="775">
        <f t="shared" si="14"/>
        <v>100</v>
      </c>
      <c r="X41" s="1813"/>
      <c r="Y41" s="3215"/>
      <c r="Z41" s="1814" t="str">
        <f t="shared" si="15"/>
        <v>层高</v>
      </c>
      <c r="AA41" s="1811">
        <f t="shared" si="3"/>
        <v>1</v>
      </c>
      <c r="AB41" s="1811">
        <f t="shared" si="4"/>
        <v>1</v>
      </c>
      <c r="AC41" s="2673">
        <f t="shared" si="5"/>
        <v>1</v>
      </c>
    </row>
    <row r="42" spans="1:29" s="471" customFormat="1" ht="15" hidden="1">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3"/>
      <c r="Q42" s="776" t="str">
        <f t="shared" si="11"/>
        <v>单套建筑面积</v>
      </c>
      <c r="R42" s="777" t="s">
        <v>17</v>
      </c>
      <c r="S42" s="778">
        <f t="shared" si="12"/>
        <v>100</v>
      </c>
      <c r="T42" s="777" t="s">
        <v>17</v>
      </c>
      <c r="U42" s="778">
        <f t="shared" si="13"/>
        <v>100</v>
      </c>
      <c r="V42" s="777" t="s">
        <v>17</v>
      </c>
      <c r="W42" s="778">
        <f t="shared" si="14"/>
        <v>100</v>
      </c>
      <c r="X42" s="779"/>
      <c r="Y42" s="3215"/>
      <c r="Z42" s="780" t="str">
        <f t="shared" si="15"/>
        <v>单套建筑面积</v>
      </c>
      <c r="AA42" s="1811">
        <f t="shared" si="3"/>
        <v>1</v>
      </c>
      <c r="AB42" s="1811">
        <f t="shared" si="4"/>
        <v>1</v>
      </c>
      <c r="AC42" s="2673">
        <f t="shared" si="5"/>
        <v>1</v>
      </c>
    </row>
    <row r="43" spans="1:29" ht="15">
      <c r="A43" s="472"/>
      <c r="B43" s="422" t="s">
        <v>2665</v>
      </c>
      <c r="C43" s="460" t="s">
        <v>3109</v>
      </c>
      <c r="D43" s="435">
        <v>100</v>
      </c>
      <c r="E43" s="460" t="s">
        <v>3109</v>
      </c>
      <c r="F43" s="461">
        <f>SUMIF(123:123,E43,124:124)-SUMIF(123:123,C43,124:124)+100</f>
        <v>100</v>
      </c>
      <c r="G43" s="460" t="s">
        <v>3109</v>
      </c>
      <c r="H43" s="435">
        <f>SUMIF(123:123,G43,124:124)-SUMIF(123:123,C43,124:124)+100</f>
        <v>100</v>
      </c>
      <c r="I43" s="460" t="s">
        <v>3109</v>
      </c>
      <c r="J43" s="435">
        <f>SUMIF(123:123,I43,124:124)-SUMIF(123:123,C43,124:124)+100</f>
        <v>100</v>
      </c>
      <c r="K43" s="612">
        <v>2</v>
      </c>
      <c r="L43" s="1140"/>
      <c r="M43" s="1131"/>
      <c r="N43" s="1131"/>
      <c r="O43" s="1131"/>
      <c r="P43" s="3213"/>
      <c r="Q43" s="1810" t="str">
        <f t="shared" si="11"/>
        <v>内部装修</v>
      </c>
      <c r="R43" s="774" t="s">
        <v>17</v>
      </c>
      <c r="S43" s="775">
        <f t="shared" si="12"/>
        <v>100</v>
      </c>
      <c r="T43" s="774" t="s">
        <v>17</v>
      </c>
      <c r="U43" s="775">
        <f t="shared" si="13"/>
        <v>100</v>
      </c>
      <c r="V43" s="774" t="s">
        <v>17</v>
      </c>
      <c r="W43" s="775">
        <f t="shared" si="14"/>
        <v>100</v>
      </c>
      <c r="X43" s="1813"/>
      <c r="Y43" s="3215"/>
      <c r="Z43" s="1814" t="str">
        <f t="shared" si="15"/>
        <v>内部装修</v>
      </c>
      <c r="AA43" s="1811">
        <f t="shared" si="3"/>
        <v>1</v>
      </c>
      <c r="AB43" s="1811">
        <f t="shared" si="4"/>
        <v>1</v>
      </c>
      <c r="AC43" s="2673">
        <f t="shared" si="5"/>
        <v>1</v>
      </c>
    </row>
    <row r="44" spans="1:29" ht="15.75" thickBot="1">
      <c r="A44" s="472"/>
      <c r="B44" s="422" t="s">
        <v>2573</v>
      </c>
      <c r="C44" s="2612" t="s">
        <v>3088</v>
      </c>
      <c r="D44" s="435">
        <v>100</v>
      </c>
      <c r="E44" s="2612" t="s">
        <v>3088</v>
      </c>
      <c r="F44" s="461">
        <f>SUMIF(125:125,E44,126:126)-SUMIF(125:125,C44,126:126)+100</f>
        <v>100</v>
      </c>
      <c r="G44" s="2612" t="s">
        <v>3088</v>
      </c>
      <c r="H44" s="435">
        <f>SUMIF(125:125,G44,126:126)-SUMIF(125:125,C44,126:126)+100</f>
        <v>100</v>
      </c>
      <c r="I44" s="2612" t="s">
        <v>3088</v>
      </c>
      <c r="J44" s="435">
        <f>SUMIF(125:125,I44,126:126)-SUMIF(125:125,C44,126:126)+100</f>
        <v>100</v>
      </c>
      <c r="K44" s="612">
        <v>1</v>
      </c>
      <c r="L44" s="1140"/>
      <c r="M44" s="1131"/>
      <c r="N44" s="1131"/>
      <c r="O44" s="1131"/>
      <c r="P44" s="3213"/>
      <c r="Q44" s="1810" t="str">
        <f t="shared" si="11"/>
        <v>内部装修维护情况</v>
      </c>
      <c r="R44" s="774" t="s">
        <v>17</v>
      </c>
      <c r="S44" s="775">
        <f t="shared" si="12"/>
        <v>100</v>
      </c>
      <c r="T44" s="774" t="s">
        <v>17</v>
      </c>
      <c r="U44" s="775">
        <f t="shared" si="13"/>
        <v>100</v>
      </c>
      <c r="V44" s="774" t="s">
        <v>17</v>
      </c>
      <c r="W44" s="775">
        <f t="shared" si="14"/>
        <v>100</v>
      </c>
      <c r="X44" s="1813"/>
      <c r="Y44" s="3215"/>
      <c r="Z44" s="1814" t="str">
        <f t="shared" si="15"/>
        <v>内部装修维护情况</v>
      </c>
      <c r="AA44" s="1811">
        <f t="shared" si="3"/>
        <v>1</v>
      </c>
      <c r="AB44" s="1811">
        <f t="shared" si="4"/>
        <v>1</v>
      </c>
      <c r="AC44" s="2673">
        <f t="shared" si="5"/>
        <v>1</v>
      </c>
    </row>
    <row r="45" spans="1:29" s="117" customFormat="1" ht="15" hidden="1">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3"/>
      <c r="Q45" s="1795">
        <f t="shared" si="11"/>
        <v>111</v>
      </c>
      <c r="R45" s="770" t="s">
        <v>17</v>
      </c>
      <c r="S45" s="771">
        <f t="shared" si="12"/>
        <v>100</v>
      </c>
      <c r="T45" s="770" t="s">
        <v>17</v>
      </c>
      <c r="U45" s="771">
        <f t="shared" si="13"/>
        <v>100</v>
      </c>
      <c r="V45" s="770" t="s">
        <v>17</v>
      </c>
      <c r="W45" s="771">
        <f t="shared" si="14"/>
        <v>100</v>
      </c>
      <c r="X45" s="772"/>
      <c r="Y45" s="3215"/>
      <c r="Z45" s="55">
        <f t="shared" si="15"/>
        <v>111</v>
      </c>
      <c r="AA45" s="773">
        <f t="shared" si="3"/>
        <v>1</v>
      </c>
      <c r="AB45" s="773">
        <f t="shared" si="4"/>
        <v>1</v>
      </c>
      <c r="AC45" s="2670">
        <f t="shared" si="5"/>
        <v>1</v>
      </c>
    </row>
    <row r="46" spans="1:29" ht="15" hidden="1">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3"/>
      <c r="Q46" s="1810">
        <f t="shared" si="11"/>
        <v>111</v>
      </c>
      <c r="R46" s="774" t="s">
        <v>17</v>
      </c>
      <c r="S46" s="775">
        <f t="shared" si="12"/>
        <v>100</v>
      </c>
      <c r="T46" s="774" t="s">
        <v>17</v>
      </c>
      <c r="U46" s="775">
        <f t="shared" si="13"/>
        <v>100</v>
      </c>
      <c r="V46" s="774" t="s">
        <v>17</v>
      </c>
      <c r="W46" s="775">
        <f t="shared" si="14"/>
        <v>100</v>
      </c>
      <c r="X46" s="1813"/>
      <c r="Y46" s="3215"/>
      <c r="Z46" s="1814">
        <f t="shared" si="15"/>
        <v>111</v>
      </c>
      <c r="AA46" s="1811">
        <f t="shared" si="3"/>
        <v>1</v>
      </c>
      <c r="AB46" s="1811">
        <f t="shared" si="4"/>
        <v>1</v>
      </c>
      <c r="AC46" s="2673">
        <f t="shared" si="5"/>
        <v>1</v>
      </c>
    </row>
    <row r="47" spans="1:29" ht="15.75" hidden="1"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4"/>
      <c r="Q47" s="1810">
        <f t="shared" si="11"/>
        <v>111</v>
      </c>
      <c r="R47" s="774" t="s">
        <v>17</v>
      </c>
      <c r="S47" s="775">
        <f t="shared" si="12"/>
        <v>100</v>
      </c>
      <c r="T47" s="774" t="s">
        <v>17</v>
      </c>
      <c r="U47" s="775">
        <f t="shared" si="13"/>
        <v>100</v>
      </c>
      <c r="V47" s="774" t="s">
        <v>17</v>
      </c>
      <c r="W47" s="775">
        <f t="shared" si="14"/>
        <v>100</v>
      </c>
      <c r="X47" s="1813"/>
      <c r="Y47" s="3216"/>
      <c r="Z47" s="1814">
        <f t="shared" si="15"/>
        <v>111</v>
      </c>
      <c r="AA47" s="1811">
        <f t="shared" si="3"/>
        <v>1</v>
      </c>
      <c r="AB47" s="1811">
        <f t="shared" si="4"/>
        <v>1</v>
      </c>
      <c r="AC47" s="2673">
        <f t="shared" si="5"/>
        <v>1</v>
      </c>
    </row>
    <row r="48" spans="1:29" ht="15">
      <c r="A48" s="479" t="s">
        <v>2574</v>
      </c>
      <c r="B48" s="480"/>
      <c r="C48" s="1407" t="s">
        <v>1</v>
      </c>
      <c r="D48" s="1408"/>
      <c r="E48" s="1409">
        <v>6.5</v>
      </c>
      <c r="F48" s="1410"/>
      <c r="G48" s="1411">
        <v>6</v>
      </c>
      <c r="H48" s="1412"/>
      <c r="I48" s="1409">
        <v>6.5</v>
      </c>
      <c r="J48" s="485"/>
      <c r="K48" s="783"/>
      <c r="L48" s="1143"/>
      <c r="M48" s="1131"/>
      <c r="N48" s="1131"/>
      <c r="O48" s="1131"/>
      <c r="P48" s="3219" t="str">
        <f>A48</f>
        <v>成交单价（元/平方米）</v>
      </c>
      <c r="Q48" s="3208"/>
      <c r="R48" s="3209">
        <f>E48</f>
        <v>6.5</v>
      </c>
      <c r="S48" s="3209"/>
      <c r="T48" s="3209">
        <f>G48</f>
        <v>6</v>
      </c>
      <c r="U48" s="3209"/>
      <c r="V48" s="3209">
        <f>I48</f>
        <v>6.5</v>
      </c>
      <c r="W48" s="3209"/>
      <c r="X48" s="446"/>
      <c r="Y48" s="781"/>
      <c r="Z48" s="446"/>
      <c r="AA48" s="446"/>
      <c r="AB48" s="446"/>
      <c r="AC48" s="630"/>
    </row>
    <row r="49" spans="1:29" ht="15.75" thickBot="1">
      <c r="A49" s="486" t="s">
        <v>2666</v>
      </c>
      <c r="B49" s="487"/>
      <c r="C49" s="1413">
        <f>R50</f>
        <v>6</v>
      </c>
      <c r="D49" s="1414"/>
      <c r="E49" s="1415">
        <f>R49</f>
        <v>6.1</v>
      </c>
      <c r="F49" s="1415"/>
      <c r="G49" s="1413">
        <f>T49</f>
        <v>5.5</v>
      </c>
      <c r="H49" s="1414"/>
      <c r="I49" s="1415">
        <f>V49</f>
        <v>6.3</v>
      </c>
      <c r="J49" s="489"/>
      <c r="K49" s="784"/>
      <c r="L49" s="1143"/>
      <c r="M49" s="1131"/>
      <c r="N49" s="1131"/>
      <c r="O49" s="1131"/>
      <c r="P49" s="3219" t="str">
        <f>A49</f>
        <v>比较价值（元/平方米）</v>
      </c>
      <c r="Q49" s="3208"/>
      <c r="R49" s="3209">
        <f>IF(F1="售价",ROUND(PRODUCT(R48,AA7:AA47),0),ROUND(PRODUCT(R48,AA7:AA47),1))</f>
        <v>6.1</v>
      </c>
      <c r="S49" s="3209"/>
      <c r="T49" s="3209">
        <f>IF(F1="售价",ROUND(PRODUCT(T48,AB7:AB47),0),ROUND(PRODUCT(T48,AB7:AB47),1))</f>
        <v>5.5</v>
      </c>
      <c r="U49" s="3209"/>
      <c r="V49" s="3209">
        <f>IF(F1="售价",ROUND(PRODUCT(V48,AC7:AC47),0),ROUND(PRODUCT(V48,AC7:AC47),1))</f>
        <v>6.3</v>
      </c>
      <c r="W49" s="3209"/>
      <c r="X49" s="446"/>
      <c r="Y49" s="446"/>
      <c r="Z49" s="446"/>
      <c r="AA49" s="446"/>
      <c r="AB49" s="446"/>
      <c r="AC49" s="630"/>
    </row>
    <row r="50" spans="1:29" ht="15.75" thickBot="1">
      <c r="A50" s="492" t="s">
        <v>2667</v>
      </c>
      <c r="B50" s="493"/>
      <c r="C50" s="1417">
        <f>R50</f>
        <v>6</v>
      </c>
      <c r="D50" s="1417"/>
      <c r="E50" s="1417"/>
      <c r="F50" s="1417"/>
      <c r="G50" s="1417"/>
      <c r="H50" s="1417"/>
      <c r="I50" s="1417"/>
      <c r="J50" s="494"/>
      <c r="K50" s="785"/>
      <c r="L50" s="1143"/>
      <c r="M50" s="1131"/>
      <c r="N50" s="1131"/>
      <c r="O50" s="1131"/>
      <c r="P50" s="3251" t="str">
        <f>A50</f>
        <v>估价对象XX用房的比较价值（楼面单价，元/平方米）</v>
      </c>
      <c r="Q50" s="3252"/>
      <c r="R50" s="3253">
        <f>IF(F1="售价",ROUND(AVERAGE(R49:V49),0),ROUND(AVERAGE(R49:V49),1))</f>
        <v>6</v>
      </c>
      <c r="S50" s="3253"/>
      <c r="T50" s="3253"/>
      <c r="U50" s="3253"/>
      <c r="V50" s="3253"/>
      <c r="W50" s="3253"/>
      <c r="X50" s="2653"/>
      <c r="Y50" s="2653"/>
      <c r="Z50" s="2653"/>
      <c r="AA50" s="2653"/>
      <c r="AB50" s="2653"/>
      <c r="AC50" s="2654"/>
    </row>
    <row r="51" spans="1:29">
      <c r="A51" s="1144"/>
      <c r="B51" s="1144"/>
      <c r="C51" s="1144"/>
      <c r="D51" s="1144"/>
      <c r="E51" s="1144">
        <v>0.95</v>
      </c>
      <c r="F51" s="1144"/>
      <c r="G51" s="1147"/>
      <c r="H51" s="1144"/>
      <c r="I51" s="1144"/>
      <c r="J51" s="1144"/>
      <c r="K51" s="1105"/>
      <c r="L51" s="1106"/>
      <c r="M51" s="1144"/>
      <c r="N51" s="1144"/>
      <c r="O51" s="1144"/>
    </row>
    <row r="52" spans="1:29">
      <c r="A52" s="1144"/>
      <c r="B52" s="1144"/>
      <c r="C52" s="1144"/>
      <c r="D52" s="1144"/>
      <c r="E52" s="1144" t="s">
        <v>3138</v>
      </c>
      <c r="F52" s="1144"/>
      <c r="G52" s="1144"/>
      <c r="H52" s="1144"/>
      <c r="I52" s="1144"/>
      <c r="J52" s="1144"/>
      <c r="K52" s="1105"/>
      <c r="L52" s="1106"/>
      <c r="M52" s="1144"/>
      <c r="N52" s="1144"/>
      <c r="O52" s="1144"/>
    </row>
    <row r="53" spans="1:29" ht="13.5" customHeight="1">
      <c r="A53" s="1144"/>
      <c r="B53" s="1144"/>
      <c r="C53" s="497" t="s">
        <v>2668</v>
      </c>
      <c r="D53" s="498"/>
      <c r="E53" s="499">
        <f>IF(E48&lt;E49,E49/E48-1,E48/E49-1)</f>
        <v>6.5573770491803351E-2</v>
      </c>
      <c r="F53" s="500" t="str">
        <f>IF(OR(E53&gt;=0.3,E53&lt;=-0.3),"超过30%","")</f>
        <v/>
      </c>
      <c r="G53" s="499">
        <f>IF(G48&lt;G49,G49/G48-1,G48/G49-1)</f>
        <v>9.0909090909090828E-2</v>
      </c>
      <c r="H53" s="500" t="str">
        <f>IF(OR(G53&gt;=0.3,G53&lt;=-0.3),"超过30%","")</f>
        <v/>
      </c>
      <c r="I53" s="499">
        <f>IF(I48&lt;I49,I49/I48-1,I48/I49-1)</f>
        <v>3.1746031746031855E-2</v>
      </c>
      <c r="J53" s="500" t="str">
        <f>IF(OR(I53&gt;=0.3,I53&lt;=-0.3),"超过30%","")</f>
        <v/>
      </c>
      <c r="K53" s="1105"/>
      <c r="L53" s="1106"/>
      <c r="M53" s="1144"/>
      <c r="N53" s="1144"/>
      <c r="O53" s="1144"/>
    </row>
    <row r="54" spans="1:29" ht="13.5" customHeight="1">
      <c r="A54" s="1144"/>
      <c r="B54" s="1144"/>
      <c r="C54" s="497" t="s">
        <v>2669</v>
      </c>
      <c r="D54" s="501"/>
      <c r="E54" s="499">
        <f>IF(E49&lt;G49,G49/E49-1,E49/G49-1)</f>
        <v>0.10909090909090913</v>
      </c>
      <c r="F54" s="500" t="str">
        <f>IF(OR(E54&gt;=0.2,E54&lt;=-0.2),"超过20%","")</f>
        <v/>
      </c>
      <c r="G54" s="499">
        <f>IF(G49&lt;I49,I49/G49-1,G49/I49-1)</f>
        <v>0.1454545454545455</v>
      </c>
      <c r="H54" s="500" t="str">
        <f>IF(OR(G54&gt;=0.2,G54&lt;=-0.2),"超过20%","")</f>
        <v/>
      </c>
      <c r="I54" s="499">
        <f>IF(I49&lt;E49,E49/I49-1,I49/E49-1)</f>
        <v>3.2786885245901676E-2</v>
      </c>
      <c r="J54" s="500" t="str">
        <f>IF(OR(I54&gt;=0.2,I54&lt;=-0.2),"超过20%","")</f>
        <v/>
      </c>
      <c r="K54" s="1105"/>
      <c r="L54" s="1106"/>
      <c r="M54" s="1144"/>
      <c r="N54" s="1144"/>
      <c r="O54" s="1144"/>
    </row>
    <row r="55" spans="1:29" s="502" customFormat="1" ht="13.5" customHeight="1">
      <c r="A55" s="1145"/>
      <c r="B55" s="1145"/>
      <c r="C55" s="497" t="s">
        <v>2670</v>
      </c>
      <c r="D55" s="501"/>
      <c r="E55" s="499">
        <f>IF(E48&lt;G48,G48/E48-1,E48/G48-1)</f>
        <v>8.3333333333333259E-2</v>
      </c>
      <c r="F55" s="500" t="str">
        <f>IF(OR(E55&gt;=0.3,E55&lt;=-0.3),"超过30%","")</f>
        <v/>
      </c>
      <c r="G55" s="499">
        <f>IF(G48&lt;I48,I48/G48-1,G48/I48-1)</f>
        <v>8.3333333333333259E-2</v>
      </c>
      <c r="H55" s="500" t="str">
        <f>IF(OR(G55&gt;=0.3,G55&lt;=-0.3),"超过30%","")</f>
        <v/>
      </c>
      <c r="I55" s="499">
        <f>IF(I48&lt;E48,E48/I48-1,I48/E48-1)</f>
        <v>0</v>
      </c>
      <c r="J55" s="500" t="str">
        <f>IF(OR(I55&gt;=0.3,I55&lt;=-0.3),"超过30%","")</f>
        <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2671</v>
      </c>
      <c r="B58" s="759"/>
      <c r="C58" s="764"/>
      <c r="D58" s="764"/>
      <c r="E58" s="764"/>
      <c r="F58" s="765"/>
      <c r="G58" s="765"/>
      <c r="H58" s="764"/>
      <c r="I58" s="764"/>
      <c r="J58" s="764"/>
      <c r="K58" s="766"/>
      <c r="L58" s="1161"/>
      <c r="M58" s="1159"/>
      <c r="N58" s="1159"/>
      <c r="O58" s="1159"/>
      <c r="P58" s="2680"/>
      <c r="Q58" s="504"/>
    </row>
    <row r="59" spans="1:29" s="508" customFormat="1" ht="15">
      <c r="A59" s="505" t="s">
        <v>2545</v>
      </c>
      <c r="B59" s="506"/>
      <c r="C59" s="1574" t="str">
        <f>YEAR(C7)&amp;"-"&amp;MONTH(C7)</f>
        <v>2019-11</v>
      </c>
      <c r="D59" s="1575">
        <f>EDATE(C59,-1)</f>
        <v>43739</v>
      </c>
      <c r="E59" s="1575">
        <f>EDATE(D59,-1)</f>
        <v>43709</v>
      </c>
      <c r="F59" s="1575">
        <f t="shared" ref="F59:O59" si="16">EDATE(E59,-1)</f>
        <v>43678</v>
      </c>
      <c r="G59" s="1575">
        <f t="shared" si="16"/>
        <v>43647</v>
      </c>
      <c r="H59" s="1575">
        <f t="shared" si="16"/>
        <v>43617</v>
      </c>
      <c r="I59" s="1575">
        <f t="shared" si="16"/>
        <v>43586</v>
      </c>
      <c r="J59" s="1575">
        <f t="shared" si="16"/>
        <v>43556</v>
      </c>
      <c r="K59" s="1575">
        <f t="shared" si="16"/>
        <v>43525</v>
      </c>
      <c r="L59" s="1575">
        <f t="shared" si="16"/>
        <v>43497</v>
      </c>
      <c r="M59" s="1575">
        <f t="shared" si="16"/>
        <v>43466</v>
      </c>
      <c r="N59" s="1575">
        <f t="shared" si="16"/>
        <v>43435</v>
      </c>
      <c r="O59" s="1575">
        <f t="shared" si="16"/>
        <v>43405</v>
      </c>
      <c r="P59" s="1571"/>
    </row>
    <row r="60" spans="1:29" s="117" customFormat="1" ht="15">
      <c r="A60" s="509"/>
      <c r="B60" s="510"/>
      <c r="C60" s="1573">
        <v>100</v>
      </c>
      <c r="D60" s="512"/>
      <c r="E60" s="512"/>
      <c r="F60" s="512"/>
      <c r="G60" s="512"/>
      <c r="H60" s="512"/>
      <c r="I60" s="512"/>
      <c r="J60" s="512"/>
      <c r="K60" s="512"/>
      <c r="L60" s="512"/>
      <c r="M60" s="513"/>
      <c r="N60" s="512"/>
      <c r="O60" s="513"/>
      <c r="P60" s="2681"/>
    </row>
    <row r="61" spans="1:29" s="117" customFormat="1" ht="15.75" thickBot="1">
      <c r="A61" s="515" t="s">
        <v>2582</v>
      </c>
      <c r="B61" s="516"/>
      <c r="C61" s="517"/>
      <c r="D61" s="518"/>
      <c r="E61" s="518"/>
      <c r="F61" s="518"/>
      <c r="G61" s="518"/>
      <c r="H61" s="518"/>
      <c r="I61" s="518"/>
      <c r="J61" s="518"/>
      <c r="K61" s="518"/>
      <c r="L61" s="518"/>
      <c r="M61" s="519"/>
      <c r="N61" s="518"/>
      <c r="O61" s="519"/>
      <c r="P61" s="2681"/>
      <c r="Q61" s="504"/>
    </row>
    <row r="62" spans="1:29" s="117" customFormat="1" ht="15">
      <c r="A62" s="521" t="s">
        <v>2547</v>
      </c>
      <c r="B62" s="510"/>
      <c r="C62" s="522" t="s">
        <v>2649</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2585</v>
      </c>
      <c r="B64" s="528" t="s">
        <v>2551</v>
      </c>
      <c r="C64" s="529" t="str">
        <f>C9</f>
        <v>办公</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3"/>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3"/>
      <c r="O67" s="1153"/>
      <c r="P67" s="2683"/>
      <c r="Q67" s="504"/>
    </row>
    <row r="68" spans="1:17" ht="15.75" thickTop="1">
      <c r="A68" s="534"/>
      <c r="B68" s="546" t="s">
        <v>2555</v>
      </c>
      <c r="C68" s="547" t="str">
        <f>C69&amp;"（含）"&amp;"-"&amp;D69</f>
        <v>0（含）-1</v>
      </c>
      <c r="D68" s="547" t="str">
        <f t="shared" ref="D68:L68" si="17">D69&amp;"（含）"&amp;"-"&amp;E69</f>
        <v>1（含）-2</v>
      </c>
      <c r="E68" s="547" t="str">
        <f t="shared" si="17"/>
        <v>2（含）-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v>0</v>
      </c>
      <c r="D69" s="549">
        <v>1</v>
      </c>
      <c r="E69" s="549">
        <v>2</v>
      </c>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7"/>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3"/>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2"/>
      <c r="O79" s="1152"/>
      <c r="P79" s="2683"/>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3"/>
      <c r="O80" s="1153"/>
      <c r="P80" s="2683"/>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2"/>
      <c r="O81" s="1152"/>
      <c r="P81" s="2683"/>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3"/>
      <c r="O82" s="1153"/>
      <c r="P82" s="2683"/>
      <c r="Q82" s="504"/>
    </row>
    <row r="83" spans="1:17" ht="15.75" thickTop="1">
      <c r="A83" s="534"/>
      <c r="B83" s="546" t="s">
        <v>2686</v>
      </c>
      <c r="C83" s="660" t="s">
        <v>2672</v>
      </c>
      <c r="D83" s="660" t="s">
        <v>2673</v>
      </c>
      <c r="E83" s="660" t="s">
        <v>2674</v>
      </c>
      <c r="F83" s="660" t="s">
        <v>2675</v>
      </c>
      <c r="G83" s="660" t="s">
        <v>2676</v>
      </c>
      <c r="H83" s="539"/>
      <c r="I83" s="539"/>
      <c r="J83" s="539"/>
      <c r="K83" s="539"/>
      <c r="L83" s="539"/>
      <c r="M83" s="1382"/>
      <c r="N83" s="1153"/>
      <c r="O83" s="1153"/>
      <c r="P83" s="2683"/>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3"/>
      <c r="O84" s="1153"/>
      <c r="P84" s="2683"/>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2"/>
      <c r="O85" s="1152"/>
      <c r="P85" s="2683"/>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3"/>
      <c r="O86" s="1153"/>
      <c r="P86" s="2683"/>
      <c r="Q86" s="504"/>
    </row>
    <row r="87" spans="1:17" s="117" customFormat="1" ht="27.75" thickTop="1">
      <c r="A87" s="579"/>
      <c r="B87" s="538" t="s">
        <v>2696</v>
      </c>
      <c r="C87" s="2962" t="s">
        <v>3116</v>
      </c>
      <c r="D87" s="2962" t="s">
        <v>3117</v>
      </c>
      <c r="E87" s="2962" t="s">
        <v>3118</v>
      </c>
      <c r="F87" s="2962" t="s">
        <v>3119</v>
      </c>
      <c r="G87" s="2962" t="s">
        <v>3120</v>
      </c>
      <c r="H87" s="554"/>
      <c r="I87" s="554"/>
      <c r="J87" s="554"/>
      <c r="K87" s="554"/>
      <c r="L87" s="580"/>
      <c r="M87" s="581"/>
      <c r="N87" s="1151"/>
      <c r="O87" s="1151"/>
      <c r="P87" s="2683"/>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3"/>
      <c r="O88" s="1153"/>
      <c r="P88" s="2683"/>
      <c r="Q88" s="504"/>
    </row>
    <row r="89" spans="1:17" s="117" customFormat="1" ht="15.75" thickTop="1">
      <c r="A89" s="579"/>
      <c r="B89" s="538" t="str">
        <f>B27</f>
        <v>楼层</v>
      </c>
      <c r="C89" s="2962" t="s">
        <v>3121</v>
      </c>
      <c r="D89" s="2962" t="s">
        <v>3122</v>
      </c>
      <c r="E89" s="2962" t="s">
        <v>3123</v>
      </c>
      <c r="F89" s="2634"/>
      <c r="G89" s="554"/>
      <c r="H89" s="554"/>
      <c r="I89" s="554"/>
      <c r="J89" s="554"/>
      <c r="K89" s="554"/>
      <c r="L89" s="554"/>
      <c r="M89" s="581"/>
      <c r="N89" s="1151"/>
      <c r="O89" s="1151"/>
      <c r="P89" s="2683"/>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2560</v>
      </c>
      <c r="B101" s="528" t="s">
        <v>2609</v>
      </c>
      <c r="C101" s="2963" t="s">
        <v>3124</v>
      </c>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3"/>
      <c r="O102" s="1153"/>
      <c r="P102" s="2683"/>
      <c r="Q102" s="504"/>
    </row>
    <row r="103" spans="1:17" ht="29.25" thickTop="1">
      <c r="A103" s="534"/>
      <c r="B103" s="538" t="s">
        <v>2610</v>
      </c>
      <c r="C103" s="578" t="str">
        <f>C104&amp;"(含)"&amp;"-"&amp;D104</f>
        <v>0(含)-2000</v>
      </c>
      <c r="D103" s="578" t="str">
        <f t="shared" ref="D103:L103" si="23">D104&amp;"(含)"&amp;"-"&amp;E104</f>
        <v>2000(含)-4000</v>
      </c>
      <c r="E103" s="578" t="str">
        <f t="shared" si="23"/>
        <v>4000(含)-6000</v>
      </c>
      <c r="F103" s="578" t="str">
        <f t="shared" si="23"/>
        <v>6000(含)-8000</v>
      </c>
      <c r="G103" s="578" t="str">
        <f t="shared" si="23"/>
        <v>8000(含)-9000</v>
      </c>
      <c r="H103" s="578" t="str">
        <f t="shared" si="23"/>
        <v>9000(含)-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v>0</v>
      </c>
      <c r="D104" s="595">
        <v>2000</v>
      </c>
      <c r="E104" s="595">
        <v>4000</v>
      </c>
      <c r="F104" s="595">
        <v>6000</v>
      </c>
      <c r="G104" s="595">
        <v>8000</v>
      </c>
      <c r="H104" s="595">
        <v>9000</v>
      </c>
      <c r="I104" s="595"/>
      <c r="J104" s="596"/>
      <c r="K104" s="596"/>
      <c r="L104" s="597"/>
      <c r="M104" s="598"/>
      <c r="N104" s="1154"/>
      <c r="O104" s="1154"/>
      <c r="P104" s="2684"/>
      <c r="Q104" s="559"/>
    </row>
    <row r="105" spans="1:17" s="471" customFormat="1" ht="15.75" thickBot="1">
      <c r="A105" s="553"/>
      <c r="B105" s="543"/>
      <c r="C105" s="560">
        <v>100</v>
      </c>
      <c r="D105" s="536">
        <f>C105-2</f>
        <v>98</v>
      </c>
      <c r="E105" s="536">
        <f t="shared" ref="E105:H105" si="24">D105-2</f>
        <v>96</v>
      </c>
      <c r="F105" s="536">
        <f t="shared" si="24"/>
        <v>94</v>
      </c>
      <c r="G105" s="536">
        <f t="shared" si="24"/>
        <v>92</v>
      </c>
      <c r="H105" s="536">
        <f t="shared" si="24"/>
        <v>90</v>
      </c>
      <c r="I105" s="536"/>
      <c r="J105" s="536"/>
      <c r="K105" s="536"/>
      <c r="L105" s="536"/>
      <c r="M105" s="537"/>
      <c r="N105" s="1153"/>
      <c r="O105" s="1153"/>
      <c r="P105" s="2684"/>
      <c r="Q105" s="559"/>
    </row>
    <row r="106" spans="1:17" ht="15" thickTop="1">
      <c r="A106" s="599"/>
      <c r="B106" s="538" t="s">
        <v>2611</v>
      </c>
      <c r="C106" s="2962" t="s">
        <v>3125</v>
      </c>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5">C107-$K35</f>
        <v>97</v>
      </c>
      <c r="E107" s="544">
        <f t="shared" si="25"/>
        <v>94</v>
      </c>
      <c r="F107" s="544">
        <f t="shared" si="25"/>
        <v>91</v>
      </c>
      <c r="G107" s="544">
        <f t="shared" si="25"/>
        <v>88</v>
      </c>
      <c r="H107" s="544">
        <f t="shared" si="25"/>
        <v>85</v>
      </c>
      <c r="I107" s="544">
        <f t="shared" si="25"/>
        <v>82</v>
      </c>
      <c r="J107" s="544">
        <f t="shared" si="25"/>
        <v>79</v>
      </c>
      <c r="K107" s="544">
        <f t="shared" si="25"/>
        <v>76</v>
      </c>
      <c r="L107" s="544">
        <f t="shared" si="25"/>
        <v>73</v>
      </c>
      <c r="M107" s="545">
        <f t="shared" si="25"/>
        <v>70</v>
      </c>
      <c r="N107" s="1153"/>
      <c r="O107" s="1153"/>
      <c r="P107" s="2683"/>
      <c r="Q107" s="504"/>
    </row>
    <row r="108" spans="1:17" ht="15" thickTop="1">
      <c r="A108" s="599"/>
      <c r="B108" s="538" t="s">
        <v>2613</v>
      </c>
      <c r="C108" s="2962" t="s">
        <v>3126</v>
      </c>
      <c r="D108" s="2962" t="s">
        <v>3127</v>
      </c>
      <c r="E108" s="2962" t="s">
        <v>3128</v>
      </c>
      <c r="F108" s="2962" t="s">
        <v>3129</v>
      </c>
      <c r="G108" s="583"/>
      <c r="H108" s="583"/>
      <c r="I108" s="583"/>
      <c r="J108" s="583"/>
      <c r="K108" s="584"/>
      <c r="L108" s="585"/>
      <c r="M108" s="586"/>
      <c r="N108" s="1152"/>
      <c r="O108" s="1152"/>
      <c r="P108" s="2683"/>
      <c r="Q108" s="504"/>
    </row>
    <row r="109" spans="1:17" ht="15.75" thickBot="1">
      <c r="A109" s="534"/>
      <c r="B109" s="543"/>
      <c r="C109" s="544">
        <v>100</v>
      </c>
      <c r="D109" s="544">
        <f t="shared" ref="D109:M109" si="26">C109-$K36</f>
        <v>98</v>
      </c>
      <c r="E109" s="544">
        <f t="shared" si="26"/>
        <v>96</v>
      </c>
      <c r="F109" s="544">
        <f t="shared" si="26"/>
        <v>94</v>
      </c>
      <c r="G109" s="544">
        <f t="shared" si="26"/>
        <v>92</v>
      </c>
      <c r="H109" s="544">
        <f t="shared" si="26"/>
        <v>90</v>
      </c>
      <c r="I109" s="544">
        <f t="shared" si="26"/>
        <v>88</v>
      </c>
      <c r="J109" s="544">
        <f t="shared" si="26"/>
        <v>86</v>
      </c>
      <c r="K109" s="544">
        <f t="shared" si="26"/>
        <v>84</v>
      </c>
      <c r="L109" s="544">
        <f t="shared" si="26"/>
        <v>82</v>
      </c>
      <c r="M109" s="545">
        <f t="shared" si="26"/>
        <v>80</v>
      </c>
      <c r="N109" s="1153"/>
      <c r="O109" s="1153"/>
      <c r="P109" s="2683"/>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101</v>
      </c>
      <c r="E112" s="544">
        <f t="shared" ref="E112:M112" si="27">D112+$K37</f>
        <v>102</v>
      </c>
      <c r="F112" s="544">
        <f t="shared" si="27"/>
        <v>103</v>
      </c>
      <c r="G112" s="544">
        <f t="shared" si="27"/>
        <v>104</v>
      </c>
      <c r="H112" s="544">
        <f t="shared" si="27"/>
        <v>105</v>
      </c>
      <c r="I112" s="544">
        <f t="shared" si="27"/>
        <v>106</v>
      </c>
      <c r="J112" s="544">
        <f t="shared" si="27"/>
        <v>107</v>
      </c>
      <c r="K112" s="544">
        <f t="shared" si="27"/>
        <v>108</v>
      </c>
      <c r="L112" s="544">
        <f t="shared" si="27"/>
        <v>109</v>
      </c>
      <c r="M112" s="544">
        <f t="shared" si="27"/>
        <v>110</v>
      </c>
      <c r="N112" s="1153"/>
      <c r="O112" s="1153"/>
      <c r="P112" s="2683"/>
      <c r="Q112" s="504"/>
    </row>
    <row r="113" spans="1:17" s="471" customFormat="1" ht="15" thickTop="1">
      <c r="A113" s="593"/>
      <c r="B113" s="538" t="s">
        <v>2697</v>
      </c>
      <c r="C113" s="2962" t="s">
        <v>3130</v>
      </c>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98</v>
      </c>
      <c r="E114" s="544">
        <f t="shared" ref="E114:M114" si="28">D114-$K38</f>
        <v>96</v>
      </c>
      <c r="F114" s="544">
        <f t="shared" si="28"/>
        <v>94</v>
      </c>
      <c r="G114" s="544">
        <f t="shared" si="28"/>
        <v>92</v>
      </c>
      <c r="H114" s="544">
        <f t="shared" si="28"/>
        <v>90</v>
      </c>
      <c r="I114" s="544">
        <f t="shared" si="28"/>
        <v>88</v>
      </c>
      <c r="J114" s="544">
        <f t="shared" si="28"/>
        <v>86</v>
      </c>
      <c r="K114" s="544">
        <f t="shared" si="28"/>
        <v>84</v>
      </c>
      <c r="L114" s="544">
        <f t="shared" si="28"/>
        <v>82</v>
      </c>
      <c r="M114" s="544">
        <f t="shared" si="28"/>
        <v>80</v>
      </c>
      <c r="N114" s="1154"/>
      <c r="O114" s="1154"/>
      <c r="P114" s="2684"/>
      <c r="Q114" s="559"/>
    </row>
    <row r="115" spans="1:17" ht="15" thickTop="1">
      <c r="A115" s="599"/>
      <c r="B115" s="538" t="s">
        <v>2614</v>
      </c>
      <c r="C115" s="2962" t="s">
        <v>3131</v>
      </c>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9">C116-$K39</f>
        <v>99</v>
      </c>
      <c r="E116" s="544">
        <f t="shared" si="29"/>
        <v>98</v>
      </c>
      <c r="F116" s="544">
        <f t="shared" si="29"/>
        <v>97</v>
      </c>
      <c r="G116" s="544">
        <f t="shared" si="29"/>
        <v>96</v>
      </c>
      <c r="H116" s="544">
        <f t="shared" si="29"/>
        <v>95</v>
      </c>
      <c r="I116" s="544">
        <f t="shared" si="29"/>
        <v>94</v>
      </c>
      <c r="J116" s="544">
        <f t="shared" si="29"/>
        <v>93</v>
      </c>
      <c r="K116" s="544">
        <f t="shared" si="29"/>
        <v>92</v>
      </c>
      <c r="L116" s="544">
        <f t="shared" si="29"/>
        <v>91</v>
      </c>
      <c r="M116" s="545">
        <f t="shared" si="29"/>
        <v>90</v>
      </c>
      <c r="N116" s="1153"/>
      <c r="O116" s="1153"/>
      <c r="P116" s="2683"/>
      <c r="Q116" s="504"/>
    </row>
    <row r="117" spans="1:17" ht="15" thickTop="1">
      <c r="A117" s="599"/>
      <c r="B117" s="538" t="s">
        <v>2615</v>
      </c>
      <c r="C117" s="2962" t="s">
        <v>3132</v>
      </c>
      <c r="D117" s="2962" t="s">
        <v>3133</v>
      </c>
      <c r="E117" s="2962" t="s">
        <v>3134</v>
      </c>
      <c r="F117" s="2962" t="s">
        <v>3135</v>
      </c>
      <c r="G117" s="2962" t="s">
        <v>3136</v>
      </c>
      <c r="H117" s="583"/>
      <c r="I117" s="583"/>
      <c r="J117" s="583"/>
      <c r="K117" s="584"/>
      <c r="L117" s="585"/>
      <c r="M117" s="586"/>
      <c r="N117" s="1152"/>
      <c r="O117" s="1152"/>
      <c r="P117" s="2683"/>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3"/>
      <c r="O118" s="1153"/>
      <c r="P118" s="2683"/>
      <c r="Q118" s="504"/>
    </row>
    <row r="119" spans="1:17" ht="15" thickTop="1">
      <c r="A119" s="599"/>
      <c r="B119" s="636" t="s">
        <v>2698</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30">D120-$K41</f>
        <v>100</v>
      </c>
      <c r="F120" s="544">
        <f t="shared" si="30"/>
        <v>100</v>
      </c>
      <c r="G120" s="544">
        <f t="shared" si="30"/>
        <v>100</v>
      </c>
      <c r="H120" s="544">
        <f t="shared" si="30"/>
        <v>100</v>
      </c>
      <c r="I120" s="544">
        <f t="shared" si="30"/>
        <v>100</v>
      </c>
      <c r="J120" s="544">
        <f t="shared" si="30"/>
        <v>100</v>
      </c>
      <c r="K120" s="544">
        <f t="shared" si="30"/>
        <v>100</v>
      </c>
      <c r="L120" s="544">
        <f t="shared" si="30"/>
        <v>100</v>
      </c>
      <c r="M120" s="544">
        <f t="shared" si="30"/>
        <v>100</v>
      </c>
      <c r="N120" s="1153"/>
      <c r="O120" s="1153"/>
      <c r="P120" s="2683"/>
      <c r="Q120" s="504"/>
    </row>
    <row r="121" spans="1:17" s="471" customFormat="1" ht="15" thickTop="1">
      <c r="A121" s="593"/>
      <c r="B121" s="538" t="s">
        <v>2681</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2617</v>
      </c>
      <c r="C123" s="2962" t="s">
        <v>3126</v>
      </c>
      <c r="D123" s="2962" t="s">
        <v>3128</v>
      </c>
      <c r="E123" s="2962" t="s">
        <v>3129</v>
      </c>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1">C124-$K43</f>
        <v>98</v>
      </c>
      <c r="E124" s="544">
        <f t="shared" si="31"/>
        <v>96</v>
      </c>
      <c r="F124" s="544">
        <f t="shared" si="31"/>
        <v>94</v>
      </c>
      <c r="G124" s="544">
        <f t="shared" si="31"/>
        <v>92</v>
      </c>
      <c r="H124" s="544">
        <f t="shared" si="31"/>
        <v>90</v>
      </c>
      <c r="I124" s="544">
        <f t="shared" si="31"/>
        <v>88</v>
      </c>
      <c r="J124" s="544">
        <f t="shared" si="31"/>
        <v>86</v>
      </c>
      <c r="K124" s="544">
        <f t="shared" si="31"/>
        <v>84</v>
      </c>
      <c r="L124" s="544">
        <f t="shared" si="31"/>
        <v>82</v>
      </c>
      <c r="M124" s="545">
        <f t="shared" si="31"/>
        <v>80</v>
      </c>
      <c r="N124" s="1153"/>
      <c r="O124" s="1153"/>
      <c r="P124" s="2683"/>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4"/>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北京中关村科技发展（控股）股份有限公司：</v>
      </c>
    </row>
    <row r="4" spans="1:1" ht="36">
      <c r="A4" s="1947" t="str">
        <f>"受贵公司委托，我公司对"&amp;项目基本情况!S1&amp;"进行了预评估。"</f>
        <v>受贵公司委托，我公司对北京市海淀区中关村大街18号五层部分综合用房房地产抵押价值进行了预评估。</v>
      </c>
    </row>
    <row r="5" spans="1:1" ht="18.75">
      <c r="A5" s="1948" t="s">
        <v>1606</v>
      </c>
    </row>
    <row r="6" spans="1:1" ht="18.75">
      <c r="A6" s="1949" t="s">
        <v>1607</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估价对象为北京市海淀区中关村大街18号五层部分综合用房房地产，为所有。根据《国有土地使用证》[]，估价对象（分摊）出让国有建设用地使用权面积为563.73平方米，建筑面积为5028.58平方米。</v>
      </c>
    </row>
    <row r="8" spans="1:1" ht="57.75">
      <c r="A8" s="1950" t="s">
        <v>1608</v>
      </c>
    </row>
    <row r="9" spans="1:1" ht="18.75">
      <c r="A9" s="1949" t="s">
        <v>1609</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中关村大街18号五层部分综合用房房地产,属开发建设的办公项目，该项目尚在开发建设中。根据《国有土地使用证》[]，估价对象（分摊）出让国有建设用地使用权面积为563.73平方米，规划建筑面积为5028.58平方米。</v>
      </c>
    </row>
    <row r="11" spans="1:1" ht="76.5">
      <c r="A11" s="1950" t="s">
        <v>1610</v>
      </c>
    </row>
    <row r="12" spans="1:1" ht="18.75">
      <c r="A12" s="1948" t="s">
        <v>1611</v>
      </c>
    </row>
    <row r="13" spans="1:1" ht="38.25" customHeight="1">
      <c r="A13" s="1951" t="str">
        <f>IF(项目基本情况!B8="抵押",IF(项目基本情况!B5=项目基本情况!B6,定义!C51,定义!B51),定义!D51)</f>
        <v>为估价委托人在向河北银行股份有限公司广安街支行办理贷款手续过程中，确定房地产抵押贷款额度提供参考依据而评估房地产抵押价值。</v>
      </c>
    </row>
    <row r="14" spans="1:1" ht="18.75">
      <c r="A14" s="1952" t="s">
        <v>1612</v>
      </c>
    </row>
    <row r="15" spans="1:1" ht="18">
      <c r="A15" s="1953" t="str">
        <f>TEXT(项目基本情况!D3,"yyyy年m月d日;;")&amp;IF(项目基本情况!D3=项目基本情况!B3,"（评估专业人员实地查勘之日）","")</f>
        <v>2019年11月5日（评估专业人员实地查勘之日）</v>
      </c>
    </row>
    <row r="16" spans="1:1" ht="18.75">
      <c r="A16" s="1952" t="s">
        <v>1613</v>
      </c>
    </row>
    <row r="17" spans="1:1" ht="75">
      <c r="A17" s="1947" t="s">
        <v>1614</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5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1603</v>
      </c>
    </row>
    <row r="24" spans="1:1" ht="18">
      <c r="A24" s="1954" t="str">
        <f>"本次评估采用的主估价方法为"&amp;结果表!K4&amp;"和"&amp;结果表!L4&amp;"。"</f>
        <v>本次评估采用的主估价方法为成本法和收益法。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2699</v>
      </c>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5"/>
      <c r="D2" s="1124"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5028.579999999999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21" t="s">
        <v>2645</v>
      </c>
      <c r="AC4" s="3220" t="s">
        <v>2646</v>
      </c>
    </row>
    <row r="5" spans="1:29"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21"/>
      <c r="AC5" s="3221"/>
    </row>
    <row r="6" spans="1:29" ht="15.75" thickBot="1">
      <c r="A6" s="406"/>
      <c r="B6" s="407"/>
      <c r="C6" s="3240" t="s">
        <v>2543</v>
      </c>
      <c r="D6" s="3241"/>
      <c r="E6" s="3247" t="s">
        <v>2543</v>
      </c>
      <c r="F6" s="3248"/>
      <c r="G6" s="3240" t="s">
        <v>2543</v>
      </c>
      <c r="H6" s="3241"/>
      <c r="I6" s="3240" t="s">
        <v>2543</v>
      </c>
      <c r="J6" s="3241"/>
      <c r="K6" s="610" t="s">
        <v>2544</v>
      </c>
      <c r="L6" s="1130"/>
      <c r="M6" s="1131"/>
      <c r="N6" s="1131"/>
      <c r="O6" s="1131"/>
      <c r="P6" s="3231"/>
      <c r="Q6" s="3232"/>
      <c r="R6" s="3235"/>
      <c r="S6" s="3236"/>
      <c r="T6" s="3237"/>
      <c r="U6" s="3238"/>
      <c r="V6" s="3239"/>
      <c r="W6" s="3239"/>
      <c r="X6" s="1813"/>
      <c r="Y6" s="3237"/>
      <c r="Z6" s="3238"/>
      <c r="AA6" s="3222"/>
      <c r="AB6" s="3222"/>
      <c r="AC6" s="3222"/>
    </row>
    <row r="7" spans="1:29" s="117" customFormat="1" ht="15.75" thickBot="1">
      <c r="A7" s="408" t="s">
        <v>2545</v>
      </c>
      <c r="B7" s="409"/>
      <c r="C7" s="410">
        <f>'数据-取费表'!B2</f>
        <v>43774</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4" t="s">
        <v>2546</v>
      </c>
      <c r="Q7" s="3246"/>
      <c r="R7" s="770" t="s">
        <v>17</v>
      </c>
      <c r="S7" s="771">
        <f t="shared" ref="S7:S15" si="0">F7</f>
        <v>0</v>
      </c>
      <c r="T7" s="770" t="s">
        <v>17</v>
      </c>
      <c r="U7" s="771">
        <f t="shared" ref="U7:U15" si="1">H7</f>
        <v>0</v>
      </c>
      <c r="V7" s="770" t="s">
        <v>17</v>
      </c>
      <c r="W7" s="771">
        <f t="shared" ref="W7:W15" si="2">J7</f>
        <v>0</v>
      </c>
      <c r="X7" s="772"/>
      <c r="Y7" s="3244" t="s">
        <v>2546</v>
      </c>
      <c r="Z7" s="3245"/>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8"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8"/>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8"/>
      <c r="Q11" s="1795"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208"/>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208"/>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208"/>
      <c r="Q14" s="1795">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57">
      <c r="A15" s="440" t="s">
        <v>2556</v>
      </c>
      <c r="B15" s="69" t="s">
        <v>2700</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0" t="s">
        <v>2557</v>
      </c>
      <c r="Q15" s="1810" t="str">
        <f t="shared" si="6"/>
        <v>产业集聚程度</v>
      </c>
      <c r="R15" s="774" t="s">
        <v>17</v>
      </c>
      <c r="S15" s="775">
        <f t="shared" si="0"/>
        <v>100</v>
      </c>
      <c r="T15" s="774" t="s">
        <v>17</v>
      </c>
      <c r="U15" s="775">
        <f t="shared" si="1"/>
        <v>100</v>
      </c>
      <c r="V15" s="774" t="s">
        <v>17</v>
      </c>
      <c r="W15" s="775">
        <f t="shared" si="2"/>
        <v>100</v>
      </c>
      <c r="X15" s="1813"/>
      <c r="Y15" s="3210" t="s">
        <v>2557</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11"/>
      <c r="Q16" s="1810"/>
      <c r="R16" s="774"/>
      <c r="S16" s="775"/>
      <c r="T16" s="774"/>
      <c r="U16" s="775"/>
      <c r="V16" s="774"/>
      <c r="W16" s="775"/>
      <c r="X16" s="1813"/>
      <c r="Y16" s="3211"/>
      <c r="Z16" s="1814"/>
      <c r="AA16" s="1811">
        <v>1</v>
      </c>
      <c r="AB16" s="1811">
        <v>1</v>
      </c>
      <c r="AC16" s="1811">
        <v>1</v>
      </c>
    </row>
    <row r="17" spans="1:29" ht="85.5">
      <c r="A17" s="428"/>
      <c r="B17" s="451" t="s">
        <v>2094</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1"/>
      <c r="Q17" s="1810" t="str">
        <f>B17</f>
        <v>交通便捷度</v>
      </c>
      <c r="R17" s="774" t="s">
        <v>17</v>
      </c>
      <c r="S17" s="775">
        <f>F17</f>
        <v>100</v>
      </c>
      <c r="T17" s="774" t="s">
        <v>17</v>
      </c>
      <c r="U17" s="775">
        <f>H17</f>
        <v>100</v>
      </c>
      <c r="V17" s="774" t="s">
        <v>17</v>
      </c>
      <c r="W17" s="775">
        <f>J17</f>
        <v>100</v>
      </c>
      <c r="X17" s="1813"/>
      <c r="Y17" s="3211"/>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9"/>
      <c r="P18" s="3211"/>
      <c r="Q18" s="1810"/>
      <c r="R18" s="774"/>
      <c r="S18" s="775"/>
      <c r="T18" s="774"/>
      <c r="U18" s="775"/>
      <c r="V18" s="774"/>
      <c r="W18" s="775"/>
      <c r="X18" s="1813"/>
      <c r="Y18" s="3211"/>
      <c r="Z18" s="1814"/>
      <c r="AA18" s="1811">
        <v>1</v>
      </c>
      <c r="AB18" s="1811">
        <v>1</v>
      </c>
      <c r="AC18" s="1811">
        <v>1</v>
      </c>
    </row>
    <row r="19" spans="1:29" ht="42.75">
      <c r="A19" s="428"/>
      <c r="B19" s="451" t="s">
        <v>2685</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1"/>
      <c r="Q19" s="1810" t="str">
        <f>B19</f>
        <v>公共配套设施</v>
      </c>
      <c r="R19" s="774" t="s">
        <v>17</v>
      </c>
      <c r="S19" s="775">
        <f>F19</f>
        <v>100</v>
      </c>
      <c r="T19" s="774" t="s">
        <v>17</v>
      </c>
      <c r="U19" s="775">
        <f>H19</f>
        <v>100</v>
      </c>
      <c r="V19" s="774" t="s">
        <v>17</v>
      </c>
      <c r="W19" s="775">
        <f>J19</f>
        <v>100</v>
      </c>
      <c r="X19" s="1813"/>
      <c r="Y19" s="3211"/>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9"/>
      <c r="P20" s="3211"/>
      <c r="Q20" s="1810"/>
      <c r="R20" s="774"/>
      <c r="S20" s="775"/>
      <c r="T20" s="774"/>
      <c r="U20" s="775"/>
      <c r="V20" s="774"/>
      <c r="W20" s="775"/>
      <c r="X20" s="1813"/>
      <c r="Y20" s="3211"/>
      <c r="Z20" s="1814"/>
      <c r="AA20" s="1811">
        <v>1</v>
      </c>
      <c r="AB20" s="1811">
        <v>1</v>
      </c>
      <c r="AC20" s="1811">
        <v>1</v>
      </c>
    </row>
    <row r="21" spans="1:29" ht="28.5">
      <c r="A21" s="428"/>
      <c r="B21" s="1384" t="s">
        <v>2686</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1"/>
      <c r="Q21" s="1810" t="str">
        <f>B21</f>
        <v>基础设施水平</v>
      </c>
      <c r="R21" s="774" t="s">
        <v>17</v>
      </c>
      <c r="S21" s="775">
        <f>F21</f>
        <v>100</v>
      </c>
      <c r="T21" s="774" t="s">
        <v>17</v>
      </c>
      <c r="U21" s="775">
        <f>H21</f>
        <v>100</v>
      </c>
      <c r="V21" s="774" t="s">
        <v>17</v>
      </c>
      <c r="W21" s="775">
        <f>J21</f>
        <v>100</v>
      </c>
      <c r="X21" s="1813"/>
      <c r="Y21" s="3211"/>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9"/>
      <c r="P22" s="3211"/>
      <c r="Q22" s="1810"/>
      <c r="R22" s="774"/>
      <c r="S22" s="775"/>
      <c r="T22" s="774"/>
      <c r="U22" s="775"/>
      <c r="V22" s="774"/>
      <c r="W22" s="775"/>
      <c r="X22" s="1813"/>
      <c r="Y22" s="3211"/>
      <c r="Z22" s="1814"/>
      <c r="AA22" s="1811">
        <v>1</v>
      </c>
      <c r="AB22" s="1811">
        <v>1</v>
      </c>
      <c r="AC22" s="1811">
        <v>1</v>
      </c>
    </row>
    <row r="23" spans="1:29" ht="71.25">
      <c r="A23" s="428"/>
      <c r="B23" s="451" t="s">
        <v>2687</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1"/>
      <c r="Q23" s="1810" t="str">
        <f>B23</f>
        <v>环境质量</v>
      </c>
      <c r="R23" s="774" t="s">
        <v>17</v>
      </c>
      <c r="S23" s="775">
        <f>F23</f>
        <v>100</v>
      </c>
      <c r="T23" s="774" t="s">
        <v>17</v>
      </c>
      <c r="U23" s="775">
        <f>H23</f>
        <v>100</v>
      </c>
      <c r="V23" s="774" t="s">
        <v>17</v>
      </c>
      <c r="W23" s="775">
        <f>J23</f>
        <v>100</v>
      </c>
      <c r="X23" s="1813"/>
      <c r="Y23" s="3211"/>
      <c r="Z23" s="1814" t="str">
        <f>Q23</f>
        <v>环境质量</v>
      </c>
      <c r="AA23" s="1811">
        <f t="shared" si="3"/>
        <v>1</v>
      </c>
      <c r="AB23" s="1811">
        <f t="shared" si="4"/>
        <v>1</v>
      </c>
      <c r="AC23" s="1811">
        <f t="shared" si="5"/>
        <v>1</v>
      </c>
    </row>
    <row r="24" spans="1:29" ht="15">
      <c r="A24" s="428"/>
      <c r="B24" s="1384"/>
      <c r="C24" s="447"/>
      <c r="D24" s="448"/>
      <c r="E24" s="2604"/>
      <c r="F24" s="449"/>
      <c r="G24" s="2603"/>
      <c r="H24" s="448"/>
      <c r="I24" s="2604"/>
      <c r="J24" s="448"/>
      <c r="K24" s="615"/>
      <c r="L24" s="1140"/>
      <c r="M24" s="1131"/>
      <c r="N24" s="1131"/>
      <c r="O24" s="1139"/>
      <c r="P24" s="3211"/>
      <c r="Q24" s="1810"/>
      <c r="R24" s="774"/>
      <c r="S24" s="775"/>
      <c r="T24" s="774"/>
      <c r="U24" s="775"/>
      <c r="V24" s="774"/>
      <c r="W24" s="775"/>
      <c r="X24" s="1813"/>
      <c r="Y24" s="3211"/>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1"/>
      <c r="Q25" s="1810">
        <f>B25</f>
        <v>111</v>
      </c>
      <c r="R25" s="774" t="s">
        <v>17</v>
      </c>
      <c r="S25" s="775">
        <f>F25</f>
        <v>100</v>
      </c>
      <c r="T25" s="774" t="s">
        <v>17</v>
      </c>
      <c r="U25" s="775">
        <f>H25</f>
        <v>100</v>
      </c>
      <c r="V25" s="774" t="s">
        <v>17</v>
      </c>
      <c r="W25" s="775">
        <f>J25</f>
        <v>100</v>
      </c>
      <c r="X25" s="1813"/>
      <c r="Y25" s="3211"/>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1"/>
      <c r="Q26" s="1810">
        <f t="shared" ref="Q26:Q40" si="11">B26</f>
        <v>111</v>
      </c>
      <c r="R26" s="774" t="s">
        <v>17</v>
      </c>
      <c r="S26" s="775">
        <f>F26</f>
        <v>100</v>
      </c>
      <c r="T26" s="774" t="s">
        <v>17</v>
      </c>
      <c r="U26" s="775">
        <f>H26</f>
        <v>100</v>
      </c>
      <c r="V26" s="774" t="s">
        <v>17</v>
      </c>
      <c r="W26" s="775">
        <f>J26</f>
        <v>100</v>
      </c>
      <c r="X26" s="1813"/>
      <c r="Y26" s="3211"/>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1"/>
      <c r="Q27" s="1795">
        <f t="shared" si="11"/>
        <v>111</v>
      </c>
      <c r="R27" s="770" t="s">
        <v>17</v>
      </c>
      <c r="S27" s="771">
        <f>F27</f>
        <v>100</v>
      </c>
      <c r="T27" s="770" t="s">
        <v>17</v>
      </c>
      <c r="U27" s="771">
        <f>H27</f>
        <v>100</v>
      </c>
      <c r="V27" s="770" t="s">
        <v>17</v>
      </c>
      <c r="W27" s="771">
        <f>J27</f>
        <v>100</v>
      </c>
      <c r="X27" s="772"/>
      <c r="Y27" s="3211"/>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1"/>
      <c r="Q28" s="1810">
        <f t="shared" si="11"/>
        <v>111</v>
      </c>
      <c r="R28" s="774" t="s">
        <v>17</v>
      </c>
      <c r="S28" s="775">
        <f t="shared" ref="S28:S40" si="12">F28</f>
        <v>100</v>
      </c>
      <c r="T28" s="774" t="s">
        <v>17</v>
      </c>
      <c r="U28" s="775">
        <f t="shared" ref="U28:U40" si="13">H28</f>
        <v>100</v>
      </c>
      <c r="V28" s="774" t="s">
        <v>17</v>
      </c>
      <c r="W28" s="775">
        <f t="shared" ref="W28:W40" si="14">J28</f>
        <v>100</v>
      </c>
      <c r="X28" s="1813"/>
      <c r="Y28" s="3211"/>
      <c r="Z28" s="1814">
        <f t="shared" ref="Z28:Z40" si="15">Q28</f>
        <v>111</v>
      </c>
      <c r="AA28" s="1811">
        <f t="shared" si="3"/>
        <v>1</v>
      </c>
      <c r="AB28" s="1811">
        <f t="shared" si="4"/>
        <v>1</v>
      </c>
      <c r="AC28" s="1811">
        <f t="shared" si="5"/>
        <v>1</v>
      </c>
    </row>
    <row r="29" spans="1:29" ht="28.5">
      <c r="A29" s="466" t="s">
        <v>2560</v>
      </c>
      <c r="B29" s="71" t="s">
        <v>2690</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268" t="s">
        <v>2562</v>
      </c>
      <c r="Q29" s="1810" t="str">
        <f t="shared" si="11"/>
        <v>建筑类型</v>
      </c>
      <c r="R29" s="774" t="s">
        <v>17</v>
      </c>
      <c r="S29" s="775">
        <f t="shared" si="12"/>
        <v>100</v>
      </c>
      <c r="T29" s="774" t="s">
        <v>17</v>
      </c>
      <c r="U29" s="775">
        <f t="shared" si="13"/>
        <v>100</v>
      </c>
      <c r="V29" s="774" t="s">
        <v>17</v>
      </c>
      <c r="W29" s="775">
        <f t="shared" si="14"/>
        <v>100</v>
      </c>
      <c r="X29" s="1813"/>
      <c r="Y29" s="3215" t="s">
        <v>2562</v>
      </c>
      <c r="Z29" s="1814" t="str">
        <f t="shared" si="15"/>
        <v>建筑类型</v>
      </c>
      <c r="AA29" s="1811">
        <f t="shared" si="3"/>
        <v>1</v>
      </c>
      <c r="AB29" s="1811">
        <f t="shared" si="4"/>
        <v>1</v>
      </c>
      <c r="AC29" s="1811">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5"/>
      <c r="Q30" s="776" t="str">
        <f t="shared" si="11"/>
        <v>项目建筑规模</v>
      </c>
      <c r="R30" s="777" t="s">
        <v>17</v>
      </c>
      <c r="S30" s="778" t="e">
        <f t="shared" si="12"/>
        <v>#N/A</v>
      </c>
      <c r="T30" s="777" t="s">
        <v>17</v>
      </c>
      <c r="U30" s="778" t="e">
        <f t="shared" si="13"/>
        <v>#N/A</v>
      </c>
      <c r="V30" s="777" t="s">
        <v>17</v>
      </c>
      <c r="W30" s="778" t="e">
        <f t="shared" si="14"/>
        <v>#N/A</v>
      </c>
      <c r="X30" s="779"/>
      <c r="Y30" s="3215"/>
      <c r="Z30" s="780" t="str">
        <f t="shared" si="15"/>
        <v>项目建筑规模</v>
      </c>
      <c r="AA30" s="1811" t="e">
        <f t="shared" si="3"/>
        <v>#N/A</v>
      </c>
      <c r="AB30" s="1811" t="e">
        <f t="shared" si="4"/>
        <v>#N/A</v>
      </c>
      <c r="AC30" s="1811"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5"/>
      <c r="Q31" s="1810" t="str">
        <f t="shared" si="11"/>
        <v>建筑结构</v>
      </c>
      <c r="R31" s="774" t="s">
        <v>17</v>
      </c>
      <c r="S31" s="775">
        <f t="shared" si="12"/>
        <v>100</v>
      </c>
      <c r="T31" s="774" t="s">
        <v>17</v>
      </c>
      <c r="U31" s="775">
        <f t="shared" si="13"/>
        <v>100</v>
      </c>
      <c r="V31" s="774" t="s">
        <v>17</v>
      </c>
      <c r="W31" s="775">
        <f t="shared" si="14"/>
        <v>100</v>
      </c>
      <c r="X31" s="1813"/>
      <c r="Y31" s="3215"/>
      <c r="Z31" s="1814" t="str">
        <f t="shared" si="15"/>
        <v>建筑结构</v>
      </c>
      <c r="AA31" s="1811">
        <f t="shared" si="3"/>
        <v>1</v>
      </c>
      <c r="AB31" s="1811">
        <f t="shared" si="4"/>
        <v>1</v>
      </c>
      <c r="AC31" s="1811">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5"/>
      <c r="Q32" s="1810" t="str">
        <f t="shared" si="11"/>
        <v>公共部分装修</v>
      </c>
      <c r="R32" s="774" t="s">
        <v>17</v>
      </c>
      <c r="S32" s="775">
        <f t="shared" si="12"/>
        <v>100</v>
      </c>
      <c r="T32" s="774" t="s">
        <v>17</v>
      </c>
      <c r="U32" s="775">
        <f t="shared" si="13"/>
        <v>100</v>
      </c>
      <c r="V32" s="774" t="s">
        <v>17</v>
      </c>
      <c r="W32" s="775">
        <f t="shared" si="14"/>
        <v>100</v>
      </c>
      <c r="X32" s="1813"/>
      <c r="Y32" s="3215"/>
      <c r="Z32" s="1814" t="str">
        <f t="shared" si="15"/>
        <v>公共部分装修</v>
      </c>
      <c r="AA32" s="1811">
        <f t="shared" si="3"/>
        <v>1</v>
      </c>
      <c r="AB32" s="1811">
        <f t="shared" si="4"/>
        <v>1</v>
      </c>
      <c r="AC32" s="1811">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5"/>
      <c r="Q33" s="1810" t="str">
        <f t="shared" si="11"/>
        <v>成新度</v>
      </c>
      <c r="R33" s="774" t="s">
        <v>17</v>
      </c>
      <c r="S33" s="775" t="e">
        <f t="shared" si="12"/>
        <v>#N/A</v>
      </c>
      <c r="T33" s="774" t="s">
        <v>17</v>
      </c>
      <c r="U33" s="775" t="e">
        <f t="shared" si="13"/>
        <v>#N/A</v>
      </c>
      <c r="V33" s="774" t="s">
        <v>17</v>
      </c>
      <c r="W33" s="775" t="e">
        <f t="shared" si="14"/>
        <v>#N/A</v>
      </c>
      <c r="X33" s="1813"/>
      <c r="Y33" s="3215"/>
      <c r="Z33" s="1814" t="str">
        <f t="shared" si="15"/>
        <v>成新度</v>
      </c>
      <c r="AA33" s="1811" t="e">
        <f t="shared" si="3"/>
        <v>#N/A</v>
      </c>
      <c r="AB33" s="1811" t="e">
        <f t="shared" si="4"/>
        <v>#N/A</v>
      </c>
      <c r="AC33" s="1811"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5"/>
      <c r="Q34" s="1795" t="str">
        <f t="shared" si="11"/>
        <v>物业管理</v>
      </c>
      <c r="R34" s="770" t="s">
        <v>17</v>
      </c>
      <c r="S34" s="771">
        <f t="shared" si="12"/>
        <v>100</v>
      </c>
      <c r="T34" s="770" t="s">
        <v>17</v>
      </c>
      <c r="U34" s="771">
        <f t="shared" si="13"/>
        <v>100</v>
      </c>
      <c r="V34" s="770" t="s">
        <v>17</v>
      </c>
      <c r="W34" s="771">
        <f t="shared" si="14"/>
        <v>100</v>
      </c>
      <c r="X34" s="772"/>
      <c r="Y34" s="3215"/>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5" t="s">
        <v>2562</v>
      </c>
      <c r="Q35" s="1810" t="str">
        <f t="shared" si="11"/>
        <v>市政基础设施</v>
      </c>
      <c r="R35" s="774" t="s">
        <v>17</v>
      </c>
      <c r="S35" s="775">
        <f t="shared" si="12"/>
        <v>100</v>
      </c>
      <c r="T35" s="774" t="s">
        <v>17</v>
      </c>
      <c r="U35" s="775">
        <f t="shared" si="13"/>
        <v>100</v>
      </c>
      <c r="V35" s="774" t="s">
        <v>17</v>
      </c>
      <c r="W35" s="775">
        <f t="shared" si="14"/>
        <v>100</v>
      </c>
      <c r="X35" s="1813"/>
      <c r="Y35" s="3215" t="s">
        <v>2562</v>
      </c>
      <c r="Z35" s="1814" t="str">
        <f t="shared" si="15"/>
        <v>市政基础设施</v>
      </c>
      <c r="AA35" s="1811">
        <f t="shared" si="3"/>
        <v>1</v>
      </c>
      <c r="AB35" s="1811">
        <f t="shared" si="4"/>
        <v>1</v>
      </c>
      <c r="AC35" s="1811">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5"/>
      <c r="Q36" s="1810" t="str">
        <f t="shared" si="11"/>
        <v>内部装修</v>
      </c>
      <c r="R36" s="774" t="s">
        <v>17</v>
      </c>
      <c r="S36" s="775">
        <f t="shared" si="12"/>
        <v>100</v>
      </c>
      <c r="T36" s="774" t="s">
        <v>17</v>
      </c>
      <c r="U36" s="775">
        <f t="shared" si="13"/>
        <v>100</v>
      </c>
      <c r="V36" s="774" t="s">
        <v>17</v>
      </c>
      <c r="W36" s="775">
        <f t="shared" si="14"/>
        <v>100</v>
      </c>
      <c r="X36" s="1813"/>
      <c r="Y36" s="3215"/>
      <c r="Z36" s="1814" t="str">
        <f t="shared" si="15"/>
        <v>内部装修</v>
      </c>
      <c r="AA36" s="1811">
        <f t="shared" si="3"/>
        <v>1</v>
      </c>
      <c r="AB36" s="1811">
        <f t="shared" si="4"/>
        <v>1</v>
      </c>
      <c r="AC36" s="1811">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5"/>
      <c r="Q37" s="1810" t="str">
        <f t="shared" si="11"/>
        <v>内部装修状况</v>
      </c>
      <c r="R37" s="774" t="s">
        <v>17</v>
      </c>
      <c r="S37" s="775">
        <f t="shared" si="12"/>
        <v>100</v>
      </c>
      <c r="T37" s="774" t="s">
        <v>17</v>
      </c>
      <c r="U37" s="775">
        <f t="shared" si="13"/>
        <v>100</v>
      </c>
      <c r="V37" s="774" t="s">
        <v>17</v>
      </c>
      <c r="W37" s="775">
        <f t="shared" si="14"/>
        <v>100</v>
      </c>
      <c r="X37" s="1813"/>
      <c r="Y37" s="3215"/>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5"/>
      <c r="Q38" s="776">
        <f t="shared" si="11"/>
        <v>111</v>
      </c>
      <c r="R38" s="777" t="s">
        <v>17</v>
      </c>
      <c r="S38" s="778">
        <f t="shared" si="12"/>
        <v>100</v>
      </c>
      <c r="T38" s="777" t="s">
        <v>17</v>
      </c>
      <c r="U38" s="778">
        <f t="shared" si="13"/>
        <v>100</v>
      </c>
      <c r="V38" s="777" t="s">
        <v>17</v>
      </c>
      <c r="W38" s="778">
        <f t="shared" si="14"/>
        <v>100</v>
      </c>
      <c r="X38" s="779"/>
      <c r="Y38" s="3215"/>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5"/>
      <c r="Q39" s="1810">
        <f t="shared" si="11"/>
        <v>111</v>
      </c>
      <c r="R39" s="774" t="s">
        <v>17</v>
      </c>
      <c r="S39" s="775">
        <f t="shared" si="12"/>
        <v>100</v>
      </c>
      <c r="T39" s="774" t="s">
        <v>17</v>
      </c>
      <c r="U39" s="775">
        <f t="shared" si="13"/>
        <v>100</v>
      </c>
      <c r="V39" s="774" t="s">
        <v>17</v>
      </c>
      <c r="W39" s="775">
        <f t="shared" si="14"/>
        <v>100</v>
      </c>
      <c r="X39" s="1813"/>
      <c r="Y39" s="3215"/>
      <c r="Z39" s="1814">
        <f t="shared" si="15"/>
        <v>111</v>
      </c>
      <c r="AA39" s="1811">
        <f t="shared" si="3"/>
        <v>1</v>
      </c>
      <c r="AB39" s="1811">
        <f t="shared" si="4"/>
        <v>1</v>
      </c>
      <c r="AC39" s="1811">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6"/>
      <c r="Q40" s="1810">
        <f t="shared" si="11"/>
        <v>111</v>
      </c>
      <c r="R40" s="774" t="s">
        <v>17</v>
      </c>
      <c r="S40" s="775">
        <f t="shared" si="12"/>
        <v>100</v>
      </c>
      <c r="T40" s="774" t="s">
        <v>17</v>
      </c>
      <c r="U40" s="775">
        <f t="shared" si="13"/>
        <v>100</v>
      </c>
      <c r="V40" s="774" t="s">
        <v>17</v>
      </c>
      <c r="W40" s="775">
        <f t="shared" si="14"/>
        <v>100</v>
      </c>
      <c r="X40" s="1813"/>
      <c r="Y40" s="3216"/>
      <c r="Z40" s="1814">
        <f t="shared" si="15"/>
        <v>111</v>
      </c>
      <c r="AA40" s="1811">
        <f t="shared" si="3"/>
        <v>1</v>
      </c>
      <c r="AB40" s="1811">
        <f t="shared" si="4"/>
        <v>1</v>
      </c>
      <c r="AC40" s="1811">
        <f t="shared" si="5"/>
        <v>1</v>
      </c>
    </row>
    <row r="41" spans="1:29" ht="15">
      <c r="A41" s="479" t="s">
        <v>2574</v>
      </c>
      <c r="B41" s="480"/>
      <c r="C41" s="1407" t="s">
        <v>1</v>
      </c>
      <c r="D41" s="1408"/>
      <c r="E41" s="1409"/>
      <c r="F41" s="1410"/>
      <c r="G41" s="1411"/>
      <c r="H41" s="1412"/>
      <c r="I41" s="1409"/>
      <c r="J41" s="1412"/>
      <c r="K41" s="783"/>
      <c r="L41" s="1143"/>
      <c r="M41" s="1144"/>
      <c r="N41" s="1131"/>
      <c r="O41" s="1144"/>
      <c r="P41" s="3208" t="str">
        <f>A41</f>
        <v>成交单价（元/平方米）</v>
      </c>
      <c r="Q41" s="3208"/>
      <c r="R41" s="3209">
        <f>E41</f>
        <v>0</v>
      </c>
      <c r="S41" s="3209"/>
      <c r="T41" s="3209">
        <f>G41</f>
        <v>0</v>
      </c>
      <c r="U41" s="3209"/>
      <c r="V41" s="3209">
        <f>I41</f>
        <v>0</v>
      </c>
      <c r="W41" s="3209"/>
      <c r="X41" s="759"/>
      <c r="Y41" s="781"/>
      <c r="Z41" s="759"/>
      <c r="AA41" s="759"/>
      <c r="AB41" s="759"/>
      <c r="AC41" s="759"/>
    </row>
    <row r="42" spans="1:29" ht="15.7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208" t="str">
        <f>A42</f>
        <v>比较价值（元/平方米）</v>
      </c>
      <c r="Q42" s="3208"/>
      <c r="R42" s="3209" t="e">
        <f>IF(F1="售价",ROUND(PRODUCT(R41,AA7:AA40),0),ROUND(PRODUCT(R41,AA7:AA40),1))</f>
        <v>#DIV/0!</v>
      </c>
      <c r="S42" s="3209"/>
      <c r="T42" s="3209" t="e">
        <f>IF(F1="售价",ROUND(PRODUCT(T41,AB7:AB40),0),ROUND(PRODUCT(T41,AB7:AB40),1))</f>
        <v>#DIV/0!</v>
      </c>
      <c r="U42" s="3209"/>
      <c r="V42" s="3209" t="e">
        <f>IF(F1="售价",ROUND(PRODUCT(V41,AC7:AC40),0),ROUND(PRODUCT(V41,AC7:AC40),1))</f>
        <v>#DIV/0!</v>
      </c>
      <c r="W42" s="3209"/>
      <c r="X42" s="759"/>
      <c r="Y42" s="759"/>
      <c r="Z42" s="759"/>
      <c r="AA42" s="759"/>
      <c r="AB42" s="759"/>
      <c r="AC42" s="759"/>
    </row>
    <row r="43" spans="1:29" ht="15.75" thickBot="1">
      <c r="A43" s="492" t="s">
        <v>2667</v>
      </c>
      <c r="B43" s="493"/>
      <c r="C43" s="1417" t="e">
        <f>R43</f>
        <v>#DIV/0!</v>
      </c>
      <c r="D43" s="1417"/>
      <c r="E43" s="1417"/>
      <c r="F43" s="1417"/>
      <c r="G43" s="1417"/>
      <c r="H43" s="1417"/>
      <c r="I43" s="1417"/>
      <c r="J43" s="1417"/>
      <c r="K43" s="785"/>
      <c r="L43" s="1143"/>
      <c r="M43" s="1144"/>
      <c r="N43" s="1144"/>
      <c r="O43" s="1144"/>
      <c r="P43" s="3205" t="str">
        <f>A43</f>
        <v>估价对象XX用房的比较价值（楼面单价，元/平方米）</v>
      </c>
      <c r="Q43" s="3206"/>
      <c r="R43" s="3207" t="e">
        <f>IF(F1="售价",ROUND(AVERAGE(R42:V42),0),ROUND(AVERAGE(R42:V42),1))</f>
        <v>#DIV/0!</v>
      </c>
      <c r="S43" s="3207"/>
      <c r="T43" s="3207"/>
      <c r="U43" s="3207"/>
      <c r="V43" s="3207"/>
      <c r="W43" s="320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2671</v>
      </c>
      <c r="B51" s="759"/>
      <c r="C51" s="764"/>
      <c r="D51" s="764"/>
      <c r="E51" s="764"/>
      <c r="F51" s="765"/>
      <c r="G51" s="765"/>
      <c r="H51" s="764"/>
      <c r="I51" s="764"/>
      <c r="J51" s="764"/>
      <c r="K51" s="1160"/>
      <c r="L51" s="1161"/>
      <c r="M51" s="1159"/>
      <c r="N51" s="1159"/>
      <c r="O51" s="1159"/>
      <c r="P51" s="503"/>
      <c r="Q51" s="504"/>
    </row>
    <row r="52" spans="1:17" s="508" customFormat="1" ht="15">
      <c r="A52" s="505" t="s">
        <v>2545</v>
      </c>
      <c r="B52" s="506"/>
      <c r="C52" s="1574" t="str">
        <f>YEAR(C7)&amp;"-"&amp;MONTH(C7)</f>
        <v>2019-11</v>
      </c>
      <c r="D52" s="1575">
        <f>EDATE(C52,-1)</f>
        <v>43739</v>
      </c>
      <c r="E52" s="1575">
        <f t="shared" ref="E52:O52" si="16">EDATE(D52,-1)</f>
        <v>43709</v>
      </c>
      <c r="F52" s="1575">
        <f t="shared" si="16"/>
        <v>43678</v>
      </c>
      <c r="G52" s="1575">
        <f t="shared" si="16"/>
        <v>43647</v>
      </c>
      <c r="H52" s="1575">
        <f t="shared" si="16"/>
        <v>43617</v>
      </c>
      <c r="I52" s="1575">
        <f t="shared" si="16"/>
        <v>43586</v>
      </c>
      <c r="J52" s="1575">
        <f t="shared" si="16"/>
        <v>43556</v>
      </c>
      <c r="K52" s="1575">
        <f t="shared" si="16"/>
        <v>43525</v>
      </c>
      <c r="L52" s="1575">
        <f t="shared" si="16"/>
        <v>43497</v>
      </c>
      <c r="M52" s="1575">
        <f t="shared" si="16"/>
        <v>43466</v>
      </c>
      <c r="N52" s="1575">
        <f t="shared" si="16"/>
        <v>43435</v>
      </c>
      <c r="O52" s="1575">
        <f t="shared" si="16"/>
        <v>43405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2611</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2613</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2615</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2617</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22"/>
      <c r="F1" s="2583"/>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21" t="s">
        <v>2645</v>
      </c>
      <c r="AC4" s="3220" t="s">
        <v>2646</v>
      </c>
    </row>
    <row r="5" spans="1:29"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21"/>
      <c r="AC5" s="3221"/>
    </row>
    <row r="6" spans="1:29" ht="15.75" thickBot="1">
      <c r="A6" s="406"/>
      <c r="B6" s="407"/>
      <c r="C6" s="3240" t="s">
        <v>2543</v>
      </c>
      <c r="D6" s="3241"/>
      <c r="E6" s="3247" t="s">
        <v>2543</v>
      </c>
      <c r="F6" s="3248"/>
      <c r="G6" s="3240" t="s">
        <v>2543</v>
      </c>
      <c r="H6" s="3241"/>
      <c r="I6" s="3240" t="s">
        <v>2543</v>
      </c>
      <c r="J6" s="3241"/>
      <c r="K6" s="610" t="s">
        <v>2544</v>
      </c>
      <c r="L6" s="1130"/>
      <c r="M6" s="1131"/>
      <c r="N6" s="1131"/>
      <c r="O6" s="1131"/>
      <c r="P6" s="3231"/>
      <c r="Q6" s="3232"/>
      <c r="R6" s="3235"/>
      <c r="S6" s="3236"/>
      <c r="T6" s="3237"/>
      <c r="U6" s="3238"/>
      <c r="V6" s="3239"/>
      <c r="W6" s="3239"/>
      <c r="X6" s="1813"/>
      <c r="Y6" s="3237"/>
      <c r="Z6" s="3238"/>
      <c r="AA6" s="3222"/>
      <c r="AB6" s="3222"/>
      <c r="AC6" s="3222"/>
    </row>
    <row r="7" spans="1:29" s="117" customFormat="1" ht="15.75" thickBot="1">
      <c r="A7" s="408" t="s">
        <v>2545</v>
      </c>
      <c r="B7" s="409"/>
      <c r="C7" s="410">
        <f>'数据-取费表'!B2</f>
        <v>43774</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4" t="s">
        <v>2546</v>
      </c>
      <c r="Q7" s="3246"/>
      <c r="R7" s="770" t="s">
        <v>17</v>
      </c>
      <c r="S7" s="771">
        <f t="shared" ref="S7:S14" si="0">F7</f>
        <v>0</v>
      </c>
      <c r="T7" s="770" t="s">
        <v>17</v>
      </c>
      <c r="U7" s="771">
        <f t="shared" ref="U7:U14" si="1">H7</f>
        <v>0</v>
      </c>
      <c r="V7" s="770" t="s">
        <v>17</v>
      </c>
      <c r="W7" s="771">
        <f t="shared" ref="W7:W14" si="2">J7</f>
        <v>0</v>
      </c>
      <c r="X7" s="772"/>
      <c r="Y7" s="3244" t="s">
        <v>2546</v>
      </c>
      <c r="Z7" s="3245"/>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8" t="s">
        <v>2552</v>
      </c>
      <c r="Q9" s="1795" t="str">
        <f t="shared" ref="Q9:Q14" si="6">B9</f>
        <v>用途</v>
      </c>
      <c r="R9" s="770" t="s">
        <v>17</v>
      </c>
      <c r="S9" s="771">
        <f t="shared" si="0"/>
        <v>100</v>
      </c>
      <c r="T9" s="770" t="s">
        <v>17</v>
      </c>
      <c r="U9" s="771">
        <f t="shared" si="1"/>
        <v>100</v>
      </c>
      <c r="V9" s="770" t="s">
        <v>17</v>
      </c>
      <c r="W9" s="771">
        <f t="shared" si="2"/>
        <v>100</v>
      </c>
      <c r="X9" s="772"/>
      <c r="Y9" s="3010"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8"/>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8"/>
      <c r="Q11" s="1795">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8"/>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8"/>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
      <c r="A14" s="401" t="s">
        <v>2556</v>
      </c>
      <c r="B14" s="629" t="s">
        <v>2706</v>
      </c>
      <c r="C14" s="2692"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0" t="s">
        <v>2557</v>
      </c>
      <c r="Q14" s="1810" t="str">
        <f t="shared" si="6"/>
        <v>交通便捷度</v>
      </c>
      <c r="R14" s="774" t="s">
        <v>17</v>
      </c>
      <c r="S14" s="775">
        <f t="shared" si="0"/>
        <v>100</v>
      </c>
      <c r="T14" s="774" t="s">
        <v>17</v>
      </c>
      <c r="U14" s="775">
        <f t="shared" si="1"/>
        <v>100</v>
      </c>
      <c r="V14" s="774" t="s">
        <v>17</v>
      </c>
      <c r="W14" s="775">
        <f t="shared" si="2"/>
        <v>100</v>
      </c>
      <c r="X14" s="1813"/>
      <c r="Y14" s="3210" t="s">
        <v>2557</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11"/>
      <c r="Q15" s="1810"/>
      <c r="R15" s="774"/>
      <c r="S15" s="775"/>
      <c r="T15" s="774"/>
      <c r="U15" s="775"/>
      <c r="V15" s="774"/>
      <c r="W15" s="775"/>
      <c r="X15" s="1813"/>
      <c r="Y15" s="3211"/>
      <c r="Z15" s="1814"/>
      <c r="AA15" s="1811">
        <v>1</v>
      </c>
      <c r="AB15" s="1811">
        <v>1</v>
      </c>
      <c r="AC15" s="1811">
        <v>1</v>
      </c>
    </row>
    <row r="16" spans="1:29" ht="15">
      <c r="A16" s="404"/>
      <c r="B16" s="631" t="s">
        <v>2685</v>
      </c>
      <c r="C16" s="2606"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1"/>
      <c r="Q16" s="1810" t="str">
        <f>B16</f>
        <v>公共配套设施</v>
      </c>
      <c r="R16" s="774" t="s">
        <v>17</v>
      </c>
      <c r="S16" s="775">
        <f>F16</f>
        <v>100</v>
      </c>
      <c r="T16" s="774" t="s">
        <v>17</v>
      </c>
      <c r="U16" s="775">
        <f>H16</f>
        <v>100</v>
      </c>
      <c r="V16" s="774" t="s">
        <v>17</v>
      </c>
      <c r="W16" s="775">
        <f>J16</f>
        <v>100</v>
      </c>
      <c r="X16" s="1813"/>
      <c r="Y16" s="3211"/>
      <c r="Z16" s="1814" t="str">
        <f>Q16</f>
        <v>公共配套设施</v>
      </c>
      <c r="AA16" s="1811">
        <f t="shared" si="3"/>
        <v>1</v>
      </c>
      <c r="AB16" s="1811">
        <f t="shared" si="4"/>
        <v>1</v>
      </c>
      <c r="AC16" s="1811">
        <f t="shared" si="5"/>
        <v>1</v>
      </c>
    </row>
    <row r="17" spans="1:29" ht="15">
      <c r="A17" s="404"/>
      <c r="B17" s="632"/>
      <c r="C17" s="2607"/>
      <c r="D17" s="448"/>
      <c r="E17" s="447"/>
      <c r="F17" s="449"/>
      <c r="G17" s="447"/>
      <c r="H17" s="448"/>
      <c r="I17" s="447"/>
      <c r="J17" s="448"/>
      <c r="K17" s="615"/>
      <c r="L17" s="1140"/>
      <c r="M17" s="1131"/>
      <c r="N17" s="1131"/>
      <c r="O17" s="1131"/>
      <c r="P17" s="3211"/>
      <c r="Q17" s="1810"/>
      <c r="R17" s="774"/>
      <c r="S17" s="775"/>
      <c r="T17" s="774"/>
      <c r="U17" s="775"/>
      <c r="V17" s="774"/>
      <c r="W17" s="775"/>
      <c r="X17" s="1813"/>
      <c r="Y17" s="3211"/>
      <c r="Z17" s="1814"/>
      <c r="AA17" s="1811">
        <v>1</v>
      </c>
      <c r="AB17" s="1811">
        <v>1</v>
      </c>
      <c r="AC17" s="1811">
        <v>1</v>
      </c>
    </row>
    <row r="18" spans="1:29" ht="15">
      <c r="A18" s="404"/>
      <c r="B18" s="633" t="s">
        <v>2686</v>
      </c>
      <c r="C18" s="2606"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1"/>
      <c r="Q18" s="1810" t="str">
        <f>B18</f>
        <v>基础设施水平</v>
      </c>
      <c r="R18" s="774" t="s">
        <v>17</v>
      </c>
      <c r="S18" s="775">
        <f>F18</f>
        <v>100</v>
      </c>
      <c r="T18" s="774" t="s">
        <v>17</v>
      </c>
      <c r="U18" s="775">
        <f>H18</f>
        <v>100</v>
      </c>
      <c r="V18" s="774" t="s">
        <v>17</v>
      </c>
      <c r="W18" s="775">
        <f>J18</f>
        <v>100</v>
      </c>
      <c r="X18" s="1813"/>
      <c r="Y18" s="3211"/>
      <c r="Z18" s="1814" t="str">
        <f>Q18</f>
        <v>基础设施水平</v>
      </c>
      <c r="AA18" s="1811">
        <f t="shared" ref="AA18" si="8">D18/F18</f>
        <v>1</v>
      </c>
      <c r="AB18" s="1811">
        <f t="shared" ref="AB18" si="9">D18/H18</f>
        <v>1</v>
      </c>
      <c r="AC18" s="1811">
        <f t="shared" ref="AC18" si="10">D18/J18</f>
        <v>1</v>
      </c>
    </row>
    <row r="19" spans="1:29" ht="15">
      <c r="A19" s="404"/>
      <c r="B19" s="633"/>
      <c r="C19" s="2607"/>
      <c r="D19" s="450"/>
      <c r="E19" s="2607"/>
      <c r="F19" s="453"/>
      <c r="G19" s="2607"/>
      <c r="H19" s="448"/>
      <c r="I19" s="447"/>
      <c r="J19" s="448"/>
      <c r="K19" s="1383"/>
      <c r="L19" s="1140"/>
      <c r="M19" s="1131"/>
      <c r="N19" s="1131"/>
      <c r="O19" s="1131"/>
      <c r="P19" s="3211"/>
      <c r="Q19" s="1810"/>
      <c r="R19" s="774"/>
      <c r="S19" s="775"/>
      <c r="T19" s="774"/>
      <c r="U19" s="775"/>
      <c r="V19" s="774"/>
      <c r="W19" s="775"/>
      <c r="X19" s="1813"/>
      <c r="Y19" s="3211"/>
      <c r="Z19" s="1814"/>
      <c r="AA19" s="1811">
        <v>1</v>
      </c>
      <c r="AB19" s="1811">
        <v>1</v>
      </c>
      <c r="AC19" s="1811">
        <v>1</v>
      </c>
    </row>
    <row r="20" spans="1:29" ht="15">
      <c r="A20" s="404"/>
      <c r="B20" s="631" t="s">
        <v>2707</v>
      </c>
      <c r="C20" s="2606"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1"/>
      <c r="Q20" s="1810" t="str">
        <f>B20</f>
        <v>自然及人文环境</v>
      </c>
      <c r="R20" s="774" t="s">
        <v>17</v>
      </c>
      <c r="S20" s="775">
        <f>F20</f>
        <v>100</v>
      </c>
      <c r="T20" s="774" t="s">
        <v>17</v>
      </c>
      <c r="U20" s="775">
        <f>H20</f>
        <v>100</v>
      </c>
      <c r="V20" s="774" t="s">
        <v>17</v>
      </c>
      <c r="W20" s="775">
        <f>J20</f>
        <v>100</v>
      </c>
      <c r="X20" s="1813"/>
      <c r="Y20" s="3211"/>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11"/>
      <c r="Q21" s="1810"/>
      <c r="R21" s="774"/>
      <c r="S21" s="775"/>
      <c r="T21" s="774"/>
      <c r="U21" s="775"/>
      <c r="V21" s="774"/>
      <c r="W21" s="775"/>
      <c r="X21" s="1813"/>
      <c r="Y21" s="3211"/>
      <c r="Z21" s="1814"/>
      <c r="AA21" s="1811">
        <v>1</v>
      </c>
      <c r="AB21" s="1811">
        <v>1</v>
      </c>
      <c r="AC21" s="1811">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1"/>
      <c r="Q22" s="1810" t="str">
        <f>B22</f>
        <v>楼层</v>
      </c>
      <c r="R22" s="774" t="s">
        <v>17</v>
      </c>
      <c r="S22" s="775">
        <f>F22</f>
        <v>100</v>
      </c>
      <c r="T22" s="774" t="s">
        <v>17</v>
      </c>
      <c r="U22" s="775">
        <f>H22</f>
        <v>100</v>
      </c>
      <c r="V22" s="774" t="s">
        <v>17</v>
      </c>
      <c r="W22" s="775">
        <f>J22</f>
        <v>100</v>
      </c>
      <c r="X22" s="1813"/>
      <c r="Y22" s="3211"/>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1"/>
      <c r="Q23" s="1810">
        <f>B23</f>
        <v>111</v>
      </c>
      <c r="R23" s="774" t="s">
        <v>17</v>
      </c>
      <c r="S23" s="775">
        <f>F23</f>
        <v>100</v>
      </c>
      <c r="T23" s="774" t="s">
        <v>17</v>
      </c>
      <c r="U23" s="775">
        <f>H23</f>
        <v>100</v>
      </c>
      <c r="V23" s="774" t="s">
        <v>17</v>
      </c>
      <c r="W23" s="775">
        <f>J23</f>
        <v>100</v>
      </c>
      <c r="X23" s="1813"/>
      <c r="Y23" s="3211"/>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1"/>
      <c r="Q24" s="1810">
        <f t="shared" ref="Q24:Q36" si="11">B24</f>
        <v>111</v>
      </c>
      <c r="R24" s="774" t="s">
        <v>17</v>
      </c>
      <c r="S24" s="775">
        <f>F24</f>
        <v>100</v>
      </c>
      <c r="T24" s="774" t="s">
        <v>17</v>
      </c>
      <c r="U24" s="775">
        <f>H24</f>
        <v>100</v>
      </c>
      <c r="V24" s="774" t="s">
        <v>17</v>
      </c>
      <c r="W24" s="775">
        <f>J24</f>
        <v>100</v>
      </c>
      <c r="X24" s="1813"/>
      <c r="Y24" s="3211"/>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1"/>
      <c r="Q25" s="1795">
        <f t="shared" si="11"/>
        <v>111</v>
      </c>
      <c r="R25" s="770" t="s">
        <v>17</v>
      </c>
      <c r="S25" s="771">
        <f>F25</f>
        <v>100</v>
      </c>
      <c r="T25" s="770" t="s">
        <v>17</v>
      </c>
      <c r="U25" s="771">
        <f>H25</f>
        <v>100</v>
      </c>
      <c r="V25" s="770" t="s">
        <v>17</v>
      </c>
      <c r="W25" s="771">
        <f>J25</f>
        <v>100</v>
      </c>
      <c r="X25" s="772"/>
      <c r="Y25" s="3211"/>
      <c r="Z25" s="55">
        <f>Q25</f>
        <v>111</v>
      </c>
      <c r="AA25" s="1811">
        <f>D25/F25</f>
        <v>1</v>
      </c>
      <c r="AB25" s="1811">
        <f>D25/H25</f>
        <v>1</v>
      </c>
      <c r="AC25" s="1811">
        <f>D25/J25</f>
        <v>1</v>
      </c>
    </row>
    <row r="26" spans="1:29" ht="28.5">
      <c r="A26" s="652" t="s">
        <v>2560</v>
      </c>
      <c r="B26" s="70" t="s">
        <v>2709</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8"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5" t="s">
        <v>2562</v>
      </c>
      <c r="Z26" s="1814" t="str">
        <f t="shared" ref="Z26:Z36" si="15">Q26</f>
        <v>配套类型</v>
      </c>
      <c r="AA26" s="1811">
        <f t="shared" si="3"/>
        <v>1</v>
      </c>
      <c r="AB26" s="1811">
        <f t="shared" si="4"/>
        <v>1</v>
      </c>
      <c r="AC26" s="1811">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5"/>
      <c r="Q27" s="776" t="str">
        <f t="shared" si="11"/>
        <v>项目停车位配比</v>
      </c>
      <c r="R27" s="777" t="s">
        <v>17</v>
      </c>
      <c r="S27" s="778">
        <f t="shared" si="12"/>
        <v>100</v>
      </c>
      <c r="T27" s="777" t="s">
        <v>17</v>
      </c>
      <c r="U27" s="778">
        <f t="shared" si="13"/>
        <v>100</v>
      </c>
      <c r="V27" s="777" t="s">
        <v>17</v>
      </c>
      <c r="W27" s="778">
        <f t="shared" si="14"/>
        <v>100</v>
      </c>
      <c r="X27" s="779"/>
      <c r="Y27" s="3215"/>
      <c r="Z27" s="780" t="str">
        <f t="shared" si="15"/>
        <v>项目停车位配比</v>
      </c>
      <c r="AA27" s="1811">
        <f t="shared" si="3"/>
        <v>1</v>
      </c>
      <c r="AB27" s="1811">
        <f t="shared" si="4"/>
        <v>1</v>
      </c>
      <c r="AC27" s="1811">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5"/>
      <c r="Q28" s="1810" t="str">
        <f t="shared" si="11"/>
        <v>公共部分装修</v>
      </c>
      <c r="R28" s="774" t="s">
        <v>17</v>
      </c>
      <c r="S28" s="775">
        <f t="shared" si="12"/>
        <v>100</v>
      </c>
      <c r="T28" s="774" t="s">
        <v>17</v>
      </c>
      <c r="U28" s="775">
        <f t="shared" si="13"/>
        <v>100</v>
      </c>
      <c r="V28" s="774" t="s">
        <v>17</v>
      </c>
      <c r="W28" s="775">
        <f t="shared" si="14"/>
        <v>100</v>
      </c>
      <c r="X28" s="1813"/>
      <c r="Y28" s="3215"/>
      <c r="Z28" s="1814" t="str">
        <f t="shared" si="15"/>
        <v>公共部分装修</v>
      </c>
      <c r="AA28" s="1811">
        <f t="shared" si="3"/>
        <v>1</v>
      </c>
      <c r="AB28" s="1811">
        <f t="shared" si="4"/>
        <v>1</v>
      </c>
      <c r="AC28" s="1811">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5"/>
      <c r="Q29" s="1810" t="str">
        <f t="shared" si="11"/>
        <v>成新率</v>
      </c>
      <c r="R29" s="774" t="s">
        <v>17</v>
      </c>
      <c r="S29" s="775" t="e">
        <f t="shared" si="12"/>
        <v>#N/A</v>
      </c>
      <c r="T29" s="774" t="s">
        <v>17</v>
      </c>
      <c r="U29" s="775" t="e">
        <f t="shared" si="13"/>
        <v>#N/A</v>
      </c>
      <c r="V29" s="774" t="s">
        <v>17</v>
      </c>
      <c r="W29" s="775" t="e">
        <f t="shared" si="14"/>
        <v>#N/A</v>
      </c>
      <c r="X29" s="1813"/>
      <c r="Y29" s="3215"/>
      <c r="Z29" s="1814" t="str">
        <f t="shared" si="15"/>
        <v>成新率</v>
      </c>
      <c r="AA29" s="1811" t="e">
        <f t="shared" si="3"/>
        <v>#N/A</v>
      </c>
      <c r="AB29" s="1811" t="e">
        <f t="shared" si="4"/>
        <v>#N/A</v>
      </c>
      <c r="AC29" s="1811"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5"/>
      <c r="Q30" s="1810" t="str">
        <f t="shared" si="11"/>
        <v>物业等级</v>
      </c>
      <c r="R30" s="774" t="s">
        <v>17</v>
      </c>
      <c r="S30" s="775">
        <f t="shared" si="12"/>
        <v>100</v>
      </c>
      <c r="T30" s="774" t="s">
        <v>17</v>
      </c>
      <c r="U30" s="775">
        <f t="shared" si="13"/>
        <v>100</v>
      </c>
      <c r="V30" s="774" t="s">
        <v>17</v>
      </c>
      <c r="W30" s="775">
        <f t="shared" si="14"/>
        <v>100</v>
      </c>
      <c r="X30" s="1813"/>
      <c r="Y30" s="3215"/>
      <c r="Z30" s="1814" t="str">
        <f t="shared" si="15"/>
        <v>物业等级</v>
      </c>
      <c r="AA30" s="1811">
        <f t="shared" si="3"/>
        <v>1</v>
      </c>
      <c r="AB30" s="1811">
        <f t="shared" si="4"/>
        <v>1</v>
      </c>
      <c r="AC30" s="1811">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5"/>
      <c r="Q31" s="1795" t="str">
        <f t="shared" si="11"/>
        <v>停车位面积</v>
      </c>
      <c r="R31" s="770" t="s">
        <v>17</v>
      </c>
      <c r="S31" s="771" t="e">
        <f t="shared" si="12"/>
        <v>#N/A</v>
      </c>
      <c r="T31" s="770" t="s">
        <v>17</v>
      </c>
      <c r="U31" s="771" t="e">
        <f t="shared" si="13"/>
        <v>#N/A</v>
      </c>
      <c r="V31" s="770" t="s">
        <v>17</v>
      </c>
      <c r="W31" s="771" t="e">
        <f t="shared" si="14"/>
        <v>#N/A</v>
      </c>
      <c r="X31" s="772"/>
      <c r="Y31" s="3215"/>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5" t="s">
        <v>2562</v>
      </c>
      <c r="Q32" s="1810" t="str">
        <f t="shared" si="11"/>
        <v>车位类型</v>
      </c>
      <c r="R32" s="774" t="s">
        <v>17</v>
      </c>
      <c r="S32" s="775">
        <f t="shared" si="12"/>
        <v>100</v>
      </c>
      <c r="T32" s="774" t="s">
        <v>17</v>
      </c>
      <c r="U32" s="775">
        <f t="shared" si="13"/>
        <v>100</v>
      </c>
      <c r="V32" s="774" t="s">
        <v>17</v>
      </c>
      <c r="W32" s="775">
        <f t="shared" si="14"/>
        <v>100</v>
      </c>
      <c r="X32" s="1813"/>
      <c r="Y32" s="3215" t="s">
        <v>2562</v>
      </c>
      <c r="Z32" s="1814" t="str">
        <f t="shared" si="15"/>
        <v>车位类型</v>
      </c>
      <c r="AA32" s="1811">
        <f t="shared" si="3"/>
        <v>1</v>
      </c>
      <c r="AB32" s="1811">
        <f t="shared" si="4"/>
        <v>1</v>
      </c>
      <c r="AC32" s="1811">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5"/>
      <c r="Q33" s="1810" t="str">
        <f t="shared" si="11"/>
        <v>是否直接入户</v>
      </c>
      <c r="R33" s="774" t="s">
        <v>17</v>
      </c>
      <c r="S33" s="775">
        <f t="shared" si="12"/>
        <v>100</v>
      </c>
      <c r="T33" s="774" t="s">
        <v>17</v>
      </c>
      <c r="U33" s="775">
        <f t="shared" si="13"/>
        <v>100</v>
      </c>
      <c r="V33" s="774" t="s">
        <v>17</v>
      </c>
      <c r="W33" s="775">
        <f t="shared" si="14"/>
        <v>100</v>
      </c>
      <c r="X33" s="1813"/>
      <c r="Y33" s="3215"/>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5"/>
      <c r="Q34" s="1810">
        <f t="shared" si="11"/>
        <v>111</v>
      </c>
      <c r="R34" s="774" t="s">
        <v>17</v>
      </c>
      <c r="S34" s="775">
        <f t="shared" si="12"/>
        <v>100</v>
      </c>
      <c r="T34" s="774" t="s">
        <v>17</v>
      </c>
      <c r="U34" s="775">
        <f t="shared" si="13"/>
        <v>100</v>
      </c>
      <c r="V34" s="774" t="s">
        <v>17</v>
      </c>
      <c r="W34" s="775">
        <f t="shared" si="14"/>
        <v>100</v>
      </c>
      <c r="X34" s="1813"/>
      <c r="Y34" s="3215"/>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5"/>
      <c r="Q35" s="776">
        <f t="shared" si="11"/>
        <v>111</v>
      </c>
      <c r="R35" s="777" t="s">
        <v>17</v>
      </c>
      <c r="S35" s="778">
        <f t="shared" si="12"/>
        <v>100</v>
      </c>
      <c r="T35" s="777" t="s">
        <v>17</v>
      </c>
      <c r="U35" s="778">
        <f t="shared" si="13"/>
        <v>100</v>
      </c>
      <c r="V35" s="777" t="s">
        <v>17</v>
      </c>
      <c r="W35" s="778">
        <f t="shared" si="14"/>
        <v>100</v>
      </c>
      <c r="X35" s="779"/>
      <c r="Y35" s="3215"/>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5"/>
      <c r="Q36" s="1810">
        <f t="shared" si="11"/>
        <v>111</v>
      </c>
      <c r="R36" s="774" t="s">
        <v>17</v>
      </c>
      <c r="S36" s="775">
        <f t="shared" si="12"/>
        <v>100</v>
      </c>
      <c r="T36" s="774" t="s">
        <v>17</v>
      </c>
      <c r="U36" s="775">
        <f t="shared" si="13"/>
        <v>100</v>
      </c>
      <c r="V36" s="774" t="s">
        <v>17</v>
      </c>
      <c r="W36" s="775">
        <f t="shared" si="14"/>
        <v>100</v>
      </c>
      <c r="X36" s="1813"/>
      <c r="Y36" s="3215"/>
      <c r="Z36" s="1814">
        <f t="shared" si="15"/>
        <v>111</v>
      </c>
      <c r="AA36" s="1811">
        <f t="shared" si="3"/>
        <v>1</v>
      </c>
      <c r="AB36" s="1811">
        <f t="shared" si="4"/>
        <v>1</v>
      </c>
      <c r="AC36" s="1811">
        <f t="shared" si="5"/>
        <v>1</v>
      </c>
    </row>
    <row r="37" spans="1:29" ht="15">
      <c r="A37" s="479" t="s">
        <v>2717</v>
      </c>
      <c r="B37" s="2694" t="s">
        <v>2718</v>
      </c>
      <c r="C37" s="1407" t="s">
        <v>1</v>
      </c>
      <c r="D37" s="1408"/>
      <c r="E37" s="1409"/>
      <c r="F37" s="1410"/>
      <c r="G37" s="1411"/>
      <c r="H37" s="1412"/>
      <c r="I37" s="1409"/>
      <c r="J37" s="1412"/>
      <c r="K37" s="619"/>
      <c r="L37" s="1143"/>
      <c r="M37" s="1144"/>
      <c r="N37" s="1131"/>
      <c r="O37" s="1144"/>
      <c r="P37" s="3208" t="str">
        <f>A37</f>
        <v>成交单价</v>
      </c>
      <c r="Q37" s="3208"/>
      <c r="R37" s="3209">
        <f>E37</f>
        <v>0</v>
      </c>
      <c r="S37" s="3209"/>
      <c r="T37" s="3209">
        <f>G37</f>
        <v>0</v>
      </c>
      <c r="U37" s="3209"/>
      <c r="V37" s="3209">
        <f>I37</f>
        <v>0</v>
      </c>
      <c r="W37" s="3209"/>
      <c r="X37" s="759"/>
      <c r="Y37" s="781"/>
      <c r="Z37" s="759"/>
      <c r="AA37" s="759"/>
      <c r="AB37" s="759"/>
      <c r="AC37" s="759"/>
    </row>
    <row r="38" spans="1:29" ht="15.7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08" t="str">
        <f>A38</f>
        <v>比较价值（元/平方米）</v>
      </c>
      <c r="Q38" s="3208"/>
      <c r="R38" s="3209" t="e">
        <f>IF(F1="售价",ROUND(PRODUCT(R37,AA7:AA36),0),ROUND(PRODUCT(R37,AA7:AA36),1))</f>
        <v>#DIV/0!</v>
      </c>
      <c r="S38" s="3209"/>
      <c r="T38" s="3209" t="e">
        <f>IF(F1="售价",ROUND(PRODUCT(T37,AB7:AB36),0),ROUND(PRODUCT(T37,AB7:AB36),1))</f>
        <v>#DIV/0!</v>
      </c>
      <c r="U38" s="3209"/>
      <c r="V38" s="3209" t="e">
        <f>IF(F1="售价",ROUND(PRODUCT(V37,AC7:AC36),0),ROUND(PRODUCT(V37,AC7:AC36),1))</f>
        <v>#DIV/0!</v>
      </c>
      <c r="W38" s="3209"/>
      <c r="X38" s="759"/>
      <c r="Y38" s="759"/>
      <c r="Z38" s="759"/>
      <c r="AA38" s="759"/>
      <c r="AB38" s="759"/>
      <c r="AC38" s="759"/>
    </row>
    <row r="39" spans="1:29" ht="15.75" thickBot="1">
      <c r="A39" s="492" t="s">
        <v>2720</v>
      </c>
      <c r="B39" s="493"/>
      <c r="C39" s="1417" t="e">
        <f>R39</f>
        <v>#DIV/0!</v>
      </c>
      <c r="D39" s="1417"/>
      <c r="E39" s="1417"/>
      <c r="F39" s="1417"/>
      <c r="G39" s="1417"/>
      <c r="H39" s="1417"/>
      <c r="I39" s="1417"/>
      <c r="J39" s="1417"/>
      <c r="K39" s="621"/>
      <c r="L39" s="1143"/>
      <c r="M39" s="1144"/>
      <c r="N39" s="1144"/>
      <c r="O39" s="1144"/>
      <c r="P39" s="3205" t="str">
        <f>A39</f>
        <v>估价对象XX用房的比较价值（楼面单价，元/平方米）</v>
      </c>
      <c r="Q39" s="3206"/>
      <c r="R39" s="3207" t="e">
        <f>IF(F1="售价",ROUND(AVERAGE(R38:V38),0),ROUND(AVERAGE(R38:V38),1))</f>
        <v>#DIV/0!</v>
      </c>
      <c r="S39" s="3207"/>
      <c r="T39" s="3207"/>
      <c r="U39" s="3207"/>
      <c r="V39" s="3207"/>
      <c r="W39" s="320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2725</v>
      </c>
      <c r="B48" s="506"/>
      <c r="C48" s="1574" t="str">
        <f>YEAR(C7)&amp;"-"&amp;MONTH(C7)</f>
        <v>2019-11</v>
      </c>
      <c r="D48" s="1575">
        <f>EDATE(C48,-1)</f>
        <v>43739</v>
      </c>
      <c r="E48" s="1575">
        <f t="shared" ref="E48:O48" si="16">EDATE(D48,-1)</f>
        <v>43709</v>
      </c>
      <c r="F48" s="1575">
        <f t="shared" si="16"/>
        <v>43678</v>
      </c>
      <c r="G48" s="1575">
        <f t="shared" si="16"/>
        <v>43647</v>
      </c>
      <c r="H48" s="1575">
        <f t="shared" si="16"/>
        <v>43617</v>
      </c>
      <c r="I48" s="1575">
        <f t="shared" si="16"/>
        <v>43586</v>
      </c>
      <c r="J48" s="1575">
        <f t="shared" si="16"/>
        <v>43556</v>
      </c>
      <c r="K48" s="1575">
        <f t="shared" si="16"/>
        <v>43525</v>
      </c>
      <c r="L48" s="1575">
        <f t="shared" si="16"/>
        <v>43497</v>
      </c>
      <c r="M48" s="1575">
        <f t="shared" si="16"/>
        <v>43466</v>
      </c>
      <c r="N48" s="1575">
        <f t="shared" si="16"/>
        <v>43435</v>
      </c>
      <c r="O48" s="1575">
        <f t="shared" si="16"/>
        <v>43405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21" t="s">
        <v>2645</v>
      </c>
      <c r="AC4" s="3220" t="s">
        <v>2646</v>
      </c>
    </row>
    <row r="5" spans="1:29"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21"/>
      <c r="AC5" s="3221"/>
    </row>
    <row r="6" spans="1:29" ht="15.75" thickBot="1">
      <c r="A6" s="406"/>
      <c r="B6" s="407"/>
      <c r="C6" s="3240" t="s">
        <v>2543</v>
      </c>
      <c r="D6" s="3241"/>
      <c r="E6" s="3247" t="s">
        <v>2543</v>
      </c>
      <c r="F6" s="3248"/>
      <c r="G6" s="3240" t="s">
        <v>2543</v>
      </c>
      <c r="H6" s="3241"/>
      <c r="I6" s="3240" t="s">
        <v>2543</v>
      </c>
      <c r="J6" s="3241"/>
      <c r="K6" s="610" t="s">
        <v>2544</v>
      </c>
      <c r="L6" s="1130"/>
      <c r="M6" s="1131"/>
      <c r="N6" s="1131"/>
      <c r="O6" s="1131"/>
      <c r="P6" s="3231"/>
      <c r="Q6" s="3232"/>
      <c r="R6" s="3235"/>
      <c r="S6" s="3236"/>
      <c r="T6" s="3237"/>
      <c r="U6" s="3238"/>
      <c r="V6" s="3239"/>
      <c r="W6" s="3239"/>
      <c r="X6" s="1813"/>
      <c r="Y6" s="3237"/>
      <c r="Z6" s="3238"/>
      <c r="AA6" s="3222"/>
      <c r="AB6" s="3222"/>
      <c r="AC6" s="3222"/>
    </row>
    <row r="7" spans="1:29" s="117" customFormat="1" ht="15.75" thickBot="1">
      <c r="A7" s="408" t="s">
        <v>2545</v>
      </c>
      <c r="B7" s="409"/>
      <c r="C7" s="410">
        <f>'数据-取费表'!B2</f>
        <v>43774</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244" t="s">
        <v>2546</v>
      </c>
      <c r="Q7" s="3246"/>
      <c r="R7" s="770" t="s">
        <v>17</v>
      </c>
      <c r="S7" s="771">
        <f t="shared" ref="S7:S14" si="0">F7</f>
        <v>0</v>
      </c>
      <c r="T7" s="770" t="s">
        <v>17</v>
      </c>
      <c r="U7" s="771">
        <f t="shared" ref="U7:U14" si="1">H7</f>
        <v>0</v>
      </c>
      <c r="V7" s="770" t="s">
        <v>17</v>
      </c>
      <c r="W7" s="771">
        <f t="shared" ref="W7:W14" si="2">J7</f>
        <v>0</v>
      </c>
      <c r="X7" s="772"/>
      <c r="Y7" s="3244" t="s">
        <v>2546</v>
      </c>
      <c r="Z7" s="3245"/>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8" t="s">
        <v>2552</v>
      </c>
      <c r="Q9" s="1795" t="str">
        <f t="shared" ref="Q9:Q14" si="6">B9</f>
        <v>用途</v>
      </c>
      <c r="R9" s="770" t="s">
        <v>17</v>
      </c>
      <c r="S9" s="771">
        <f t="shared" si="0"/>
        <v>100</v>
      </c>
      <c r="T9" s="770" t="s">
        <v>17</v>
      </c>
      <c r="U9" s="771">
        <f t="shared" si="1"/>
        <v>100</v>
      </c>
      <c r="V9" s="770" t="s">
        <v>17</v>
      </c>
      <c r="W9" s="771">
        <f t="shared" si="2"/>
        <v>100</v>
      </c>
      <c r="X9" s="772"/>
      <c r="Y9" s="3010"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8"/>
      <c r="Q10" s="1795"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8"/>
      <c r="Q11" s="1795">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8"/>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208"/>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
      <c r="A14" s="440" t="s">
        <v>2556</v>
      </c>
      <c r="B14" s="69" t="s">
        <v>2706</v>
      </c>
      <c r="C14" s="2692"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0" t="s">
        <v>2557</v>
      </c>
      <c r="Q14" s="1810" t="str">
        <f t="shared" si="6"/>
        <v>交通便捷度</v>
      </c>
      <c r="R14" s="774" t="s">
        <v>17</v>
      </c>
      <c r="S14" s="775">
        <f t="shared" si="0"/>
        <v>100</v>
      </c>
      <c r="T14" s="774" t="s">
        <v>17</v>
      </c>
      <c r="U14" s="775">
        <f t="shared" si="1"/>
        <v>100</v>
      </c>
      <c r="V14" s="774" t="s">
        <v>17</v>
      </c>
      <c r="W14" s="775">
        <f t="shared" si="2"/>
        <v>100</v>
      </c>
      <c r="X14" s="1813"/>
      <c r="Y14" s="3210" t="s">
        <v>2557</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11"/>
      <c r="Q15" s="1810"/>
      <c r="R15" s="774"/>
      <c r="S15" s="775"/>
      <c r="T15" s="774"/>
      <c r="U15" s="775"/>
      <c r="V15" s="774"/>
      <c r="W15" s="775"/>
      <c r="X15" s="1813"/>
      <c r="Y15" s="3211"/>
      <c r="Z15" s="1814"/>
      <c r="AA15" s="1811">
        <v>1</v>
      </c>
      <c r="AB15" s="1811">
        <v>1</v>
      </c>
      <c r="AC15" s="1811">
        <v>1</v>
      </c>
    </row>
    <row r="16" spans="1:29" ht="15">
      <c r="A16" s="428"/>
      <c r="B16" s="451" t="s">
        <v>2685</v>
      </c>
      <c r="C16" s="2606"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1"/>
      <c r="Q16" s="1810" t="str">
        <f>B16</f>
        <v>公共配套设施</v>
      </c>
      <c r="R16" s="774" t="s">
        <v>17</v>
      </c>
      <c r="S16" s="775">
        <f>F16</f>
        <v>100</v>
      </c>
      <c r="T16" s="774" t="s">
        <v>17</v>
      </c>
      <c r="U16" s="775">
        <f>H16</f>
        <v>100</v>
      </c>
      <c r="V16" s="774" t="s">
        <v>17</v>
      </c>
      <c r="W16" s="775">
        <f>J16</f>
        <v>100</v>
      </c>
      <c r="X16" s="1813"/>
      <c r="Y16" s="3211"/>
      <c r="Z16" s="1814" t="str">
        <f>Q16</f>
        <v>公共配套设施</v>
      </c>
      <c r="AA16" s="1811">
        <f t="shared" si="3"/>
        <v>1</v>
      </c>
      <c r="AB16" s="1811">
        <f t="shared" si="4"/>
        <v>1</v>
      </c>
      <c r="AC16" s="1811">
        <f t="shared" si="5"/>
        <v>1</v>
      </c>
    </row>
    <row r="17" spans="1:29" ht="15">
      <c r="A17" s="428"/>
      <c r="B17" s="456"/>
      <c r="C17" s="2607"/>
      <c r="D17" s="448"/>
      <c r="E17" s="447"/>
      <c r="F17" s="449"/>
      <c r="G17" s="447"/>
      <c r="H17" s="448"/>
      <c r="I17" s="447"/>
      <c r="J17" s="448"/>
      <c r="K17" s="615"/>
      <c r="L17" s="1140"/>
      <c r="M17" s="1131"/>
      <c r="N17" s="1131"/>
      <c r="O17" s="1139"/>
      <c r="P17" s="3211"/>
      <c r="Q17" s="1810"/>
      <c r="R17" s="774"/>
      <c r="S17" s="775"/>
      <c r="T17" s="774"/>
      <c r="U17" s="775"/>
      <c r="V17" s="774"/>
      <c r="W17" s="775"/>
      <c r="X17" s="1813"/>
      <c r="Y17" s="3211"/>
      <c r="Z17" s="1814"/>
      <c r="AA17" s="1811">
        <v>1</v>
      </c>
      <c r="AB17" s="1811">
        <v>1</v>
      </c>
      <c r="AC17" s="1811">
        <v>1</v>
      </c>
    </row>
    <row r="18" spans="1:29" ht="15">
      <c r="A18" s="428"/>
      <c r="B18" s="1384" t="s">
        <v>2686</v>
      </c>
      <c r="C18" s="2606"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1"/>
      <c r="Q18" s="1810" t="str">
        <f>B18</f>
        <v>基础设施水平</v>
      </c>
      <c r="R18" s="774" t="s">
        <v>17</v>
      </c>
      <c r="S18" s="775">
        <f>F18</f>
        <v>100</v>
      </c>
      <c r="T18" s="774" t="s">
        <v>17</v>
      </c>
      <c r="U18" s="775">
        <f>H18</f>
        <v>100</v>
      </c>
      <c r="V18" s="774" t="s">
        <v>17</v>
      </c>
      <c r="W18" s="775">
        <f>J18</f>
        <v>100</v>
      </c>
      <c r="X18" s="1813"/>
      <c r="Y18" s="3211"/>
      <c r="Z18" s="1814" t="str">
        <f>Q18</f>
        <v>基础设施水平</v>
      </c>
      <c r="AA18" s="1811">
        <f t="shared" ref="AA18" si="8">D18/F18</f>
        <v>1</v>
      </c>
      <c r="AB18" s="1811">
        <f t="shared" ref="AB18" si="9">D18/H18</f>
        <v>1</v>
      </c>
      <c r="AC18" s="1811">
        <f t="shared" ref="AC18" si="10">D18/J18</f>
        <v>1</v>
      </c>
    </row>
    <row r="19" spans="1:29" ht="15">
      <c r="A19" s="428"/>
      <c r="B19" s="1384"/>
      <c r="C19" s="2607"/>
      <c r="D19" s="450"/>
      <c r="E19" s="2607"/>
      <c r="F19" s="453"/>
      <c r="G19" s="2607"/>
      <c r="H19" s="448"/>
      <c r="I19" s="447"/>
      <c r="J19" s="448"/>
      <c r="K19" s="1383"/>
      <c r="L19" s="1140"/>
      <c r="M19" s="1131"/>
      <c r="N19" s="1131"/>
      <c r="O19" s="1139"/>
      <c r="P19" s="3211"/>
      <c r="Q19" s="1810"/>
      <c r="R19" s="774"/>
      <c r="S19" s="775"/>
      <c r="T19" s="774"/>
      <c r="U19" s="775"/>
      <c r="V19" s="774"/>
      <c r="W19" s="775"/>
      <c r="X19" s="1813"/>
      <c r="Y19" s="3211"/>
      <c r="Z19" s="1814"/>
      <c r="AA19" s="1811">
        <v>1</v>
      </c>
      <c r="AB19" s="1811">
        <v>1</v>
      </c>
      <c r="AC19" s="1811">
        <v>1</v>
      </c>
    </row>
    <row r="20" spans="1:29" ht="15">
      <c r="A20" s="428"/>
      <c r="B20" s="451" t="s">
        <v>2707</v>
      </c>
      <c r="C20" s="2606"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1"/>
      <c r="Q20" s="1810" t="str">
        <f>B20</f>
        <v>自然及人文环境</v>
      </c>
      <c r="R20" s="774" t="s">
        <v>17</v>
      </c>
      <c r="S20" s="775">
        <f>F20</f>
        <v>100</v>
      </c>
      <c r="T20" s="774" t="s">
        <v>17</v>
      </c>
      <c r="U20" s="775">
        <f>H20</f>
        <v>100</v>
      </c>
      <c r="V20" s="774" t="s">
        <v>17</v>
      </c>
      <c r="W20" s="775">
        <f>J20</f>
        <v>100</v>
      </c>
      <c r="X20" s="1813"/>
      <c r="Y20" s="3211"/>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11"/>
      <c r="Q21" s="1810"/>
      <c r="R21" s="774"/>
      <c r="S21" s="775"/>
      <c r="T21" s="774"/>
      <c r="U21" s="775"/>
      <c r="V21" s="774"/>
      <c r="W21" s="775"/>
      <c r="X21" s="1813"/>
      <c r="Y21" s="3211"/>
      <c r="Z21" s="1814"/>
      <c r="AA21" s="1811">
        <v>1</v>
      </c>
      <c r="AB21" s="1811">
        <v>1</v>
      </c>
      <c r="AC21" s="1811">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1"/>
      <c r="Q22" s="1810" t="str">
        <f>B22</f>
        <v>楼层</v>
      </c>
      <c r="R22" s="774" t="s">
        <v>17</v>
      </c>
      <c r="S22" s="775">
        <f>F22</f>
        <v>100</v>
      </c>
      <c r="T22" s="774" t="s">
        <v>17</v>
      </c>
      <c r="U22" s="775">
        <f>H22</f>
        <v>100</v>
      </c>
      <c r="V22" s="774" t="s">
        <v>17</v>
      </c>
      <c r="W22" s="775">
        <f>J22</f>
        <v>100</v>
      </c>
      <c r="X22" s="1813"/>
      <c r="Y22" s="3211"/>
      <c r="Z22" s="1814" t="str">
        <f>Q22</f>
        <v>楼层</v>
      </c>
      <c r="AA22" s="1811">
        <f t="shared" si="3"/>
        <v>1</v>
      </c>
      <c r="AB22" s="1811">
        <f t="shared" si="4"/>
        <v>1</v>
      </c>
      <c r="AC22" s="1811">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1"/>
      <c r="Q23" s="1810">
        <f>B23</f>
        <v>111</v>
      </c>
      <c r="R23" s="774" t="s">
        <v>17</v>
      </c>
      <c r="S23" s="775">
        <f>F23</f>
        <v>100</v>
      </c>
      <c r="T23" s="774" t="s">
        <v>17</v>
      </c>
      <c r="U23" s="775">
        <f>H23</f>
        <v>100</v>
      </c>
      <c r="V23" s="774" t="s">
        <v>17</v>
      </c>
      <c r="W23" s="775">
        <f>J23</f>
        <v>100</v>
      </c>
      <c r="X23" s="1813"/>
      <c r="Y23" s="3211"/>
      <c r="Z23" s="1814">
        <f>Q23</f>
        <v>111</v>
      </c>
      <c r="AA23" s="1811">
        <f t="shared" si="3"/>
        <v>1</v>
      </c>
      <c r="AB23" s="1811">
        <f t="shared" si="4"/>
        <v>1</v>
      </c>
      <c r="AC23" s="1811">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1"/>
      <c r="Q24" s="1810">
        <f t="shared" ref="Q24:Q34" si="11">B24</f>
        <v>111</v>
      </c>
      <c r="R24" s="774" t="s">
        <v>17</v>
      </c>
      <c r="S24" s="775">
        <f>F24</f>
        <v>100</v>
      </c>
      <c r="T24" s="774" t="s">
        <v>17</v>
      </c>
      <c r="U24" s="775">
        <f>H24</f>
        <v>100</v>
      </c>
      <c r="V24" s="774" t="s">
        <v>17</v>
      </c>
      <c r="W24" s="775">
        <f>J24</f>
        <v>100</v>
      </c>
      <c r="X24" s="1813"/>
      <c r="Y24" s="3211"/>
      <c r="Z24" s="1814">
        <f>Q24</f>
        <v>111</v>
      </c>
      <c r="AA24" s="1811">
        <f t="shared" si="3"/>
        <v>1</v>
      </c>
      <c r="AB24" s="1811">
        <f t="shared" si="4"/>
        <v>1</v>
      </c>
      <c r="AC24" s="1811">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211"/>
      <c r="Q25" s="1795">
        <f t="shared" si="11"/>
        <v>111</v>
      </c>
      <c r="R25" s="770" t="s">
        <v>17</v>
      </c>
      <c r="S25" s="771">
        <f>F25</f>
        <v>100</v>
      </c>
      <c r="T25" s="770" t="s">
        <v>17</v>
      </c>
      <c r="U25" s="771">
        <f>H25</f>
        <v>100</v>
      </c>
      <c r="V25" s="770" t="s">
        <v>17</v>
      </c>
      <c r="W25" s="771">
        <f>J25</f>
        <v>100</v>
      </c>
      <c r="X25" s="772"/>
      <c r="Y25" s="3211"/>
      <c r="Z25" s="55">
        <f>Q25</f>
        <v>111</v>
      </c>
      <c r="AA25" s="1811">
        <f>D25/F25</f>
        <v>1</v>
      </c>
      <c r="AB25" s="1811">
        <f>D25/H25</f>
        <v>1</v>
      </c>
      <c r="AC25" s="1811">
        <f>D25/J25</f>
        <v>1</v>
      </c>
    </row>
    <row r="26" spans="1:29" ht="28.5">
      <c r="A26" s="466" t="s">
        <v>2560</v>
      </c>
      <c r="B26" s="71" t="s">
        <v>2711</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268"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5" t="s">
        <v>2562</v>
      </c>
      <c r="Z26" s="1814" t="str">
        <f t="shared" ref="Z26:Z34" si="15">Q26</f>
        <v>公共部分装修</v>
      </c>
      <c r="AA26" s="1811">
        <f t="shared" si="3"/>
        <v>1</v>
      </c>
      <c r="AB26" s="1811">
        <f t="shared" si="4"/>
        <v>1</v>
      </c>
      <c r="AC26" s="1811">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5"/>
      <c r="Q27" s="776" t="str">
        <f t="shared" si="11"/>
        <v>成新率</v>
      </c>
      <c r="R27" s="777" t="s">
        <v>17</v>
      </c>
      <c r="S27" s="778" t="e">
        <f t="shared" si="12"/>
        <v>#N/A</v>
      </c>
      <c r="T27" s="777" t="s">
        <v>17</v>
      </c>
      <c r="U27" s="778" t="e">
        <f t="shared" si="13"/>
        <v>#N/A</v>
      </c>
      <c r="V27" s="777" t="s">
        <v>17</v>
      </c>
      <c r="W27" s="778" t="e">
        <f t="shared" si="14"/>
        <v>#N/A</v>
      </c>
      <c r="X27" s="779"/>
      <c r="Y27" s="3215"/>
      <c r="Z27" s="780" t="str">
        <f t="shared" si="15"/>
        <v>成新率</v>
      </c>
      <c r="AA27" s="1811" t="e">
        <f t="shared" si="3"/>
        <v>#N/A</v>
      </c>
      <c r="AB27" s="1811" t="e">
        <f t="shared" si="4"/>
        <v>#N/A</v>
      </c>
      <c r="AC27" s="1811"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5"/>
      <c r="Q28" s="1810" t="str">
        <f t="shared" si="11"/>
        <v>物业等级</v>
      </c>
      <c r="R28" s="774" t="s">
        <v>17</v>
      </c>
      <c r="S28" s="775">
        <f t="shared" si="12"/>
        <v>100</v>
      </c>
      <c r="T28" s="774" t="s">
        <v>17</v>
      </c>
      <c r="U28" s="775">
        <f t="shared" si="13"/>
        <v>100</v>
      </c>
      <c r="V28" s="774" t="s">
        <v>17</v>
      </c>
      <c r="W28" s="775">
        <f t="shared" si="14"/>
        <v>100</v>
      </c>
      <c r="X28" s="1813"/>
      <c r="Y28" s="3215"/>
      <c r="Z28" s="1814" t="str">
        <f t="shared" si="15"/>
        <v>物业等级</v>
      </c>
      <c r="AA28" s="1811">
        <f t="shared" si="3"/>
        <v>1</v>
      </c>
      <c r="AB28" s="1811">
        <f t="shared" si="4"/>
        <v>1</v>
      </c>
      <c r="AC28" s="1811">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5"/>
      <c r="Q29" s="1810" t="str">
        <f t="shared" si="11"/>
        <v>有无电梯</v>
      </c>
      <c r="R29" s="774" t="s">
        <v>17</v>
      </c>
      <c r="S29" s="775">
        <f t="shared" si="12"/>
        <v>100</v>
      </c>
      <c r="T29" s="774" t="s">
        <v>17</v>
      </c>
      <c r="U29" s="775">
        <f t="shared" si="13"/>
        <v>100</v>
      </c>
      <c r="V29" s="774" t="s">
        <v>17</v>
      </c>
      <c r="W29" s="775">
        <f t="shared" si="14"/>
        <v>100</v>
      </c>
      <c r="X29" s="1813"/>
      <c r="Y29" s="3215"/>
      <c r="Z29" s="1814" t="str">
        <f t="shared" si="15"/>
        <v>有无电梯</v>
      </c>
      <c r="AA29" s="1811">
        <f t="shared" si="3"/>
        <v>1</v>
      </c>
      <c r="AB29" s="1811">
        <f t="shared" si="4"/>
        <v>1</v>
      </c>
      <c r="AC29" s="1811">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5"/>
      <c r="Q30" s="1810" t="str">
        <f t="shared" si="11"/>
        <v>建筑面积</v>
      </c>
      <c r="R30" s="774" t="s">
        <v>17</v>
      </c>
      <c r="S30" s="775" t="e">
        <f t="shared" si="12"/>
        <v>#N/A</v>
      </c>
      <c r="T30" s="774" t="s">
        <v>17</v>
      </c>
      <c r="U30" s="775" t="e">
        <f t="shared" si="13"/>
        <v>#N/A</v>
      </c>
      <c r="V30" s="774" t="s">
        <v>17</v>
      </c>
      <c r="W30" s="775" t="e">
        <f t="shared" si="14"/>
        <v>#N/A</v>
      </c>
      <c r="X30" s="1813"/>
      <c r="Y30" s="3215"/>
      <c r="Z30" s="1814" t="str">
        <f t="shared" si="15"/>
        <v>建筑面积</v>
      </c>
      <c r="AA30" s="1811" t="e">
        <f t="shared" si="3"/>
        <v>#N/A</v>
      </c>
      <c r="AB30" s="1811" t="e">
        <f t="shared" si="4"/>
        <v>#N/A</v>
      </c>
      <c r="AC30" s="1811"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5"/>
      <c r="Q31" s="1795" t="str">
        <f t="shared" si="11"/>
        <v>是否封闭</v>
      </c>
      <c r="R31" s="770" t="s">
        <v>17</v>
      </c>
      <c r="S31" s="771">
        <f t="shared" si="12"/>
        <v>100</v>
      </c>
      <c r="T31" s="770" t="s">
        <v>17</v>
      </c>
      <c r="U31" s="771">
        <f t="shared" si="13"/>
        <v>100</v>
      </c>
      <c r="V31" s="770" t="s">
        <v>17</v>
      </c>
      <c r="W31" s="771">
        <f t="shared" si="14"/>
        <v>100</v>
      </c>
      <c r="X31" s="772"/>
      <c r="Y31" s="3215"/>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5" t="s">
        <v>2562</v>
      </c>
      <c r="Q32" s="1810">
        <f t="shared" si="11"/>
        <v>111</v>
      </c>
      <c r="R32" s="774" t="s">
        <v>17</v>
      </c>
      <c r="S32" s="775">
        <f t="shared" si="12"/>
        <v>100</v>
      </c>
      <c r="T32" s="774" t="s">
        <v>17</v>
      </c>
      <c r="U32" s="775">
        <f t="shared" si="13"/>
        <v>100</v>
      </c>
      <c r="V32" s="774" t="s">
        <v>17</v>
      </c>
      <c r="W32" s="775">
        <f t="shared" si="14"/>
        <v>100</v>
      </c>
      <c r="X32" s="1813"/>
      <c r="Y32" s="3215" t="s">
        <v>2562</v>
      </c>
      <c r="Z32" s="1814">
        <f t="shared" si="15"/>
        <v>111</v>
      </c>
      <c r="AA32" s="1811">
        <f t="shared" si="3"/>
        <v>1</v>
      </c>
      <c r="AB32" s="1811">
        <f t="shared" si="4"/>
        <v>1</v>
      </c>
      <c r="AC32" s="1811">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5"/>
      <c r="Q33" s="1810">
        <f t="shared" si="11"/>
        <v>111</v>
      </c>
      <c r="R33" s="774" t="s">
        <v>17</v>
      </c>
      <c r="S33" s="775">
        <f t="shared" si="12"/>
        <v>100</v>
      </c>
      <c r="T33" s="774" t="s">
        <v>17</v>
      </c>
      <c r="U33" s="775">
        <f t="shared" si="13"/>
        <v>100</v>
      </c>
      <c r="V33" s="774" t="s">
        <v>17</v>
      </c>
      <c r="W33" s="775">
        <f t="shared" si="14"/>
        <v>100</v>
      </c>
      <c r="X33" s="1813"/>
      <c r="Y33" s="3215"/>
      <c r="Z33" s="1814">
        <f t="shared" si="15"/>
        <v>111</v>
      </c>
      <c r="AA33" s="1811">
        <f t="shared" si="3"/>
        <v>1</v>
      </c>
      <c r="AB33" s="1811">
        <f t="shared" si="4"/>
        <v>1</v>
      </c>
      <c r="AC33" s="1811">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215"/>
      <c r="Q34" s="1810">
        <f t="shared" si="11"/>
        <v>111</v>
      </c>
      <c r="R34" s="774" t="s">
        <v>17</v>
      </c>
      <c r="S34" s="775">
        <f t="shared" si="12"/>
        <v>100</v>
      </c>
      <c r="T34" s="774" t="s">
        <v>17</v>
      </c>
      <c r="U34" s="775">
        <f t="shared" si="13"/>
        <v>100</v>
      </c>
      <c r="V34" s="774" t="s">
        <v>17</v>
      </c>
      <c r="W34" s="775">
        <f t="shared" si="14"/>
        <v>100</v>
      </c>
      <c r="X34" s="1813"/>
      <c r="Y34" s="3215"/>
      <c r="Z34" s="1814">
        <f t="shared" si="15"/>
        <v>111</v>
      </c>
      <c r="AA34" s="1811">
        <f t="shared" si="3"/>
        <v>1</v>
      </c>
      <c r="AB34" s="1811">
        <f t="shared" si="4"/>
        <v>1</v>
      </c>
      <c r="AC34" s="1811">
        <f t="shared" si="5"/>
        <v>1</v>
      </c>
    </row>
    <row r="35" spans="1:29" ht="15">
      <c r="A35" s="479" t="s">
        <v>2574</v>
      </c>
      <c r="B35" s="480"/>
      <c r="C35" s="1407" t="s">
        <v>1</v>
      </c>
      <c r="D35" s="1408"/>
      <c r="E35" s="1409"/>
      <c r="F35" s="1410"/>
      <c r="G35" s="1411"/>
      <c r="H35" s="1412"/>
      <c r="I35" s="1409"/>
      <c r="J35" s="1412"/>
      <c r="K35" s="783"/>
      <c r="L35" s="1143"/>
      <c r="M35" s="1144"/>
      <c r="N35" s="1131"/>
      <c r="O35" s="1144"/>
      <c r="P35" s="3208" t="str">
        <f>A35</f>
        <v>成交单价（元/平方米）</v>
      </c>
      <c r="Q35" s="3208"/>
      <c r="R35" s="3209">
        <f>E35</f>
        <v>0</v>
      </c>
      <c r="S35" s="3209"/>
      <c r="T35" s="3209">
        <f>G35</f>
        <v>0</v>
      </c>
      <c r="U35" s="3209"/>
      <c r="V35" s="3209">
        <f>I35</f>
        <v>0</v>
      </c>
      <c r="W35" s="3209"/>
      <c r="X35" s="759"/>
      <c r="Y35" s="781"/>
      <c r="Z35" s="759"/>
      <c r="AA35" s="759"/>
      <c r="AB35" s="759"/>
      <c r="AC35" s="759"/>
    </row>
    <row r="36" spans="1:29" ht="15.7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208" t="str">
        <f>A36</f>
        <v>比较价值（元/平方米）</v>
      </c>
      <c r="Q36" s="3208"/>
      <c r="R36" s="3209" t="e">
        <f>IF(F1="售价",ROUND(PRODUCT(R35,AA7:AA34),0),ROUND(PRODUCT(R35,AA7:AA34),1))</f>
        <v>#DIV/0!</v>
      </c>
      <c r="S36" s="3209"/>
      <c r="T36" s="3209" t="e">
        <f>IF(F1="售价",ROUND(PRODUCT(T35,AB7:AB34),0),ROUND(PRODUCT(T35,AB7:AB34),1))</f>
        <v>#DIV/0!</v>
      </c>
      <c r="U36" s="3209"/>
      <c r="V36" s="3209" t="e">
        <f>IF(F1="售价",ROUND(PRODUCT(V35,AC7:AC34),0),ROUND(PRODUCT(V35,AC7:AC34),1))</f>
        <v>#DIV/0!</v>
      </c>
      <c r="W36" s="3209"/>
      <c r="X36" s="759"/>
      <c r="Y36" s="759"/>
      <c r="Z36" s="759"/>
      <c r="AA36" s="759"/>
      <c r="AB36" s="759"/>
      <c r="AC36" s="759"/>
    </row>
    <row r="37" spans="1:29" ht="15.75" thickBot="1">
      <c r="A37" s="492" t="s">
        <v>2667</v>
      </c>
      <c r="B37" s="493"/>
      <c r="C37" s="1417" t="e">
        <f>R37</f>
        <v>#DIV/0!</v>
      </c>
      <c r="D37" s="1417"/>
      <c r="E37" s="1417"/>
      <c r="F37" s="1417"/>
      <c r="G37" s="1417"/>
      <c r="H37" s="1417"/>
      <c r="I37" s="1417"/>
      <c r="J37" s="1417"/>
      <c r="K37" s="785"/>
      <c r="L37" s="1143"/>
      <c r="M37" s="1144"/>
      <c r="N37" s="1144"/>
      <c r="O37" s="1144"/>
      <c r="P37" s="3205" t="str">
        <f>A37</f>
        <v>估价对象XX用房的比较价值（楼面单价，元/平方米）</v>
      </c>
      <c r="Q37" s="3206"/>
      <c r="R37" s="3207" t="e">
        <f>IF(F1="售价",ROUND(AVERAGE(R36:V36),0),ROUND(AVERAGE(R36:V36),1))</f>
        <v>#DIV/0!</v>
      </c>
      <c r="S37" s="3207"/>
      <c r="T37" s="3207"/>
      <c r="U37" s="3207"/>
      <c r="V37" s="3207"/>
      <c r="W37" s="320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4" t="str">
        <f>YEAR(C7)&amp;"-"&amp;MONTH(C7)</f>
        <v>2019-11</v>
      </c>
      <c r="D46" s="1575">
        <f>EDATE(C46,-1)</f>
        <v>43739</v>
      </c>
      <c r="E46" s="1575">
        <f t="shared" ref="E46:O46" si="16">EDATE(D46,-1)</f>
        <v>43709</v>
      </c>
      <c r="F46" s="1575">
        <f t="shared" si="16"/>
        <v>43678</v>
      </c>
      <c r="G46" s="1575">
        <f t="shared" si="16"/>
        <v>43647</v>
      </c>
      <c r="H46" s="1575">
        <f t="shared" si="16"/>
        <v>43617</v>
      </c>
      <c r="I46" s="1575">
        <f t="shared" si="16"/>
        <v>43586</v>
      </c>
      <c r="J46" s="1575">
        <f t="shared" si="16"/>
        <v>43556</v>
      </c>
      <c r="K46" s="1575">
        <f t="shared" si="16"/>
        <v>43525</v>
      </c>
      <c r="L46" s="1575">
        <f t="shared" si="16"/>
        <v>43497</v>
      </c>
      <c r="M46" s="1575">
        <f t="shared" si="16"/>
        <v>43466</v>
      </c>
      <c r="N46" s="1575">
        <f t="shared" si="16"/>
        <v>43435</v>
      </c>
      <c r="O46" s="1575">
        <f t="shared" si="16"/>
        <v>43405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2726</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2560</v>
      </c>
      <c r="B77" s="528" t="s">
        <v>2613</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2730</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2738</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2740</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21" t="s">
        <v>2645</v>
      </c>
      <c r="AC4" s="3220" t="s">
        <v>2646</v>
      </c>
    </row>
    <row r="5" spans="1:30"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21"/>
      <c r="AC5" s="3221"/>
    </row>
    <row r="6" spans="1:30" ht="15.75" thickBot="1">
      <c r="A6" s="406"/>
      <c r="B6" s="407"/>
      <c r="C6" s="3240" t="s">
        <v>2543</v>
      </c>
      <c r="D6" s="3241"/>
      <c r="E6" s="3247" t="s">
        <v>2543</v>
      </c>
      <c r="F6" s="3248"/>
      <c r="G6" s="3240" t="s">
        <v>2543</v>
      </c>
      <c r="H6" s="3241"/>
      <c r="I6" s="3240" t="s">
        <v>2543</v>
      </c>
      <c r="J6" s="3241"/>
      <c r="K6" s="610" t="s">
        <v>2544</v>
      </c>
      <c r="L6" s="1130"/>
      <c r="M6" s="1131"/>
      <c r="N6" s="1131"/>
      <c r="O6" s="1131"/>
      <c r="P6" s="3231"/>
      <c r="Q6" s="3232"/>
      <c r="R6" s="3235"/>
      <c r="S6" s="3236"/>
      <c r="T6" s="3237"/>
      <c r="U6" s="3238"/>
      <c r="V6" s="3239"/>
      <c r="W6" s="3239"/>
      <c r="X6" s="1813"/>
      <c r="Y6" s="3237"/>
      <c r="Z6" s="3238"/>
      <c r="AA6" s="3222"/>
      <c r="AB6" s="3222"/>
      <c r="AC6" s="3222"/>
    </row>
    <row r="7" spans="1:30" s="117" customFormat="1" ht="15.75" thickBot="1">
      <c r="A7" s="408" t="s">
        <v>2545</v>
      </c>
      <c r="B7" s="409"/>
      <c r="C7" s="410">
        <f>'数据-取费表'!B2</f>
        <v>43774</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2"/>
      <c r="M7" s="1133"/>
      <c r="N7" s="1133"/>
      <c r="O7" s="1133"/>
      <c r="P7" s="3244" t="s">
        <v>2546</v>
      </c>
      <c r="Q7" s="3246"/>
      <c r="R7" s="770" t="s">
        <v>17</v>
      </c>
      <c r="S7" s="771">
        <f t="shared" ref="S7:S15" si="0">F7</f>
        <v>0</v>
      </c>
      <c r="T7" s="770" t="s">
        <v>17</v>
      </c>
      <c r="U7" s="771">
        <f t="shared" ref="U7:U15" si="1">H7</f>
        <v>0</v>
      </c>
      <c r="V7" s="770" t="s">
        <v>17</v>
      </c>
      <c r="W7" s="771">
        <f t="shared" ref="W7:W15" si="2">J7</f>
        <v>0</v>
      </c>
      <c r="X7" s="772"/>
      <c r="Y7" s="3244" t="s">
        <v>2546</v>
      </c>
      <c r="Z7" s="3245"/>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45" si="3">D8/F8</f>
        <v>#DIV/0!</v>
      </c>
      <c r="AB8" s="773" t="e">
        <f t="shared" ref="AB8:AB45" si="4">D8/H8</f>
        <v>#DIV/0!</v>
      </c>
      <c r="AC8" s="773" t="e">
        <f t="shared" ref="AC8:AC45" si="5">D8/J8</f>
        <v>#DIV/0!</v>
      </c>
    </row>
    <row r="9" spans="1:30" s="117" customFormat="1">
      <c r="A9" s="415" t="s">
        <v>2550</v>
      </c>
      <c r="B9" s="71" t="s">
        <v>2551</v>
      </c>
      <c r="C9" s="2698"/>
      <c r="D9" s="135">
        <v>100</v>
      </c>
      <c r="E9" s="2698"/>
      <c r="F9" s="135">
        <f>SUMIF(75:75,E9,76:76)-SUMIF(75:75,C9,76:76)+100</f>
        <v>100</v>
      </c>
      <c r="G9" s="2698"/>
      <c r="H9" s="135">
        <f>SUMIF(75:75,G9,76:76)-SUMIF(75:75,C9,76:76)+100</f>
        <v>100</v>
      </c>
      <c r="I9" s="2698"/>
      <c r="J9" s="135">
        <f>SUMIF(75:75,I9,76:76)-SUMIF(75:75,C9,76:76)+100</f>
        <v>100</v>
      </c>
      <c r="K9" s="611"/>
      <c r="L9" s="1132"/>
      <c r="M9" s="1133"/>
      <c r="N9" s="1133"/>
      <c r="O9" s="1134"/>
      <c r="P9" s="3208"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 ca="1">ROUND(100/'数据-取费表'!G16,0)</f>
        <v>115</v>
      </c>
      <c r="G10" s="463"/>
      <c r="H10" s="136">
        <f ca="1">ROUND(100/'数据-取费表'!G16,0)</f>
        <v>115</v>
      </c>
      <c r="I10" s="463"/>
      <c r="J10" s="136">
        <f ca="1">ROUND(100/'数据-取费表'!G16,0)</f>
        <v>115</v>
      </c>
      <c r="K10" s="672"/>
      <c r="L10" s="1135"/>
      <c r="M10" s="1136"/>
      <c r="N10" s="1136"/>
      <c r="O10" s="1137"/>
      <c r="P10" s="3208"/>
      <c r="Q10" s="1795" t="str">
        <f t="shared" si="6"/>
        <v>土地使用年限（年）</v>
      </c>
      <c r="R10" s="770" t="s">
        <v>17</v>
      </c>
      <c r="S10" s="771">
        <f t="shared" ca="1" si="0"/>
        <v>115</v>
      </c>
      <c r="T10" s="770" t="s">
        <v>17</v>
      </c>
      <c r="U10" s="771">
        <f t="shared" ca="1" si="1"/>
        <v>115</v>
      </c>
      <c r="V10" s="770" t="s">
        <v>17</v>
      </c>
      <c r="W10" s="771">
        <f t="shared" ca="1" si="2"/>
        <v>115</v>
      </c>
      <c r="X10" s="772"/>
      <c r="Y10" s="3010"/>
      <c r="Z10" s="55" t="str">
        <f t="shared" si="7"/>
        <v>土地使用年限（年）</v>
      </c>
      <c r="AA10" s="773">
        <f t="shared" ca="1" si="3"/>
        <v>0.86956521739130432</v>
      </c>
      <c r="AB10" s="773">
        <f t="shared" ca="1" si="4"/>
        <v>0.86956521739130432</v>
      </c>
      <c r="AC10" s="773">
        <f t="shared" ca="1" si="5"/>
        <v>0.86956521739130432</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8"/>
      <c r="Q11" s="1795"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30" s="117" customFormat="1" ht="15">
      <c r="A12" s="431"/>
      <c r="B12" s="2599"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8"/>
      <c r="Q12" s="1795" t="str">
        <f t="shared" si="6"/>
        <v>配建</v>
      </c>
      <c r="R12" s="770" t="s">
        <v>17</v>
      </c>
      <c r="S12" s="771">
        <f t="shared" si="0"/>
        <v>100</v>
      </c>
      <c r="T12" s="770" t="s">
        <v>17</v>
      </c>
      <c r="U12" s="771">
        <f t="shared" si="1"/>
        <v>100</v>
      </c>
      <c r="V12" s="770" t="s">
        <v>17</v>
      </c>
      <c r="W12" s="771">
        <f t="shared" si="2"/>
        <v>100</v>
      </c>
      <c r="X12" s="772"/>
      <c r="Y12" s="3010"/>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8"/>
      <c r="Q13" s="1795">
        <f t="shared" si="6"/>
        <v>111</v>
      </c>
      <c r="R13" s="770" t="s">
        <v>17</v>
      </c>
      <c r="S13" s="771">
        <f t="shared" si="0"/>
        <v>100</v>
      </c>
      <c r="T13" s="770" t="s">
        <v>17</v>
      </c>
      <c r="U13" s="771">
        <f t="shared" si="1"/>
        <v>100</v>
      </c>
      <c r="V13" s="770" t="s">
        <v>17</v>
      </c>
      <c r="W13" s="771">
        <f t="shared" si="2"/>
        <v>100</v>
      </c>
      <c r="X13" s="772"/>
      <c r="Y13" s="3010"/>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8"/>
      <c r="Q14" s="1795">
        <f t="shared" si="6"/>
        <v>111</v>
      </c>
      <c r="R14" s="770" t="s">
        <v>17</v>
      </c>
      <c r="S14" s="771">
        <f t="shared" si="0"/>
        <v>100</v>
      </c>
      <c r="T14" s="770" t="s">
        <v>17</v>
      </c>
      <c r="U14" s="771">
        <f t="shared" si="1"/>
        <v>100</v>
      </c>
      <c r="V14" s="770" t="s">
        <v>17</v>
      </c>
      <c r="W14" s="771">
        <f t="shared" si="2"/>
        <v>100</v>
      </c>
      <c r="X14" s="772"/>
      <c r="Y14" s="3010"/>
      <c r="Z14" s="55">
        <f t="shared" si="7"/>
        <v>111</v>
      </c>
      <c r="AA14" s="773">
        <f>D14/F14</f>
        <v>1</v>
      </c>
      <c r="AB14" s="773">
        <f>D14/H14</f>
        <v>1</v>
      </c>
      <c r="AC14" s="773">
        <f>D14/J14</f>
        <v>1</v>
      </c>
    </row>
    <row r="15" spans="1:30" ht="99.75">
      <c r="A15" s="440" t="s">
        <v>2556</v>
      </c>
      <c r="B15" s="69" t="s">
        <v>2083</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10" t="s">
        <v>2557</v>
      </c>
      <c r="Q15" s="1810" t="str">
        <f t="shared" si="6"/>
        <v>居住社区成熟度</v>
      </c>
      <c r="R15" s="774" t="s">
        <v>17</v>
      </c>
      <c r="S15" s="775">
        <f t="shared" si="0"/>
        <v>100</v>
      </c>
      <c r="T15" s="774" t="s">
        <v>17</v>
      </c>
      <c r="U15" s="775">
        <f t="shared" si="1"/>
        <v>100</v>
      </c>
      <c r="V15" s="774" t="s">
        <v>17</v>
      </c>
      <c r="W15" s="775">
        <f t="shared" si="2"/>
        <v>100</v>
      </c>
      <c r="X15" s="1813"/>
      <c r="Y15" s="3210" t="s">
        <v>2557</v>
      </c>
      <c r="Z15" s="1814" t="str">
        <f t="shared" si="7"/>
        <v>居住社区成熟度</v>
      </c>
      <c r="AA15" s="1811">
        <f t="shared" si="3"/>
        <v>1</v>
      </c>
      <c r="AB15" s="1811">
        <f t="shared" si="4"/>
        <v>1</v>
      </c>
      <c r="AC15" s="1811">
        <f t="shared" si="5"/>
        <v>1</v>
      </c>
    </row>
    <row r="16" spans="1:30" ht="15">
      <c r="A16" s="428"/>
      <c r="B16" s="446"/>
      <c r="C16" s="447"/>
      <c r="D16" s="448"/>
      <c r="E16" s="2604"/>
      <c r="F16" s="448"/>
      <c r="G16" s="2604"/>
      <c r="H16" s="450"/>
      <c r="I16" s="2603"/>
      <c r="J16" s="448"/>
      <c r="K16" s="672"/>
      <c r="L16" s="1140"/>
      <c r="M16" s="1131"/>
      <c r="N16" s="1131"/>
      <c r="O16" s="1139"/>
      <c r="P16" s="3211"/>
      <c r="Q16" s="1810"/>
      <c r="R16" s="774"/>
      <c r="S16" s="775"/>
      <c r="T16" s="774"/>
      <c r="U16" s="775"/>
      <c r="V16" s="774"/>
      <c r="W16" s="775"/>
      <c r="X16" s="1813"/>
      <c r="Y16" s="3211"/>
      <c r="Z16" s="1814"/>
      <c r="AA16" s="1811">
        <v>1</v>
      </c>
      <c r="AB16" s="1811">
        <v>1</v>
      </c>
      <c r="AC16" s="1811">
        <v>1</v>
      </c>
    </row>
    <row r="17" spans="1:29" ht="71.25">
      <c r="A17" s="428"/>
      <c r="B17" s="451" t="s">
        <v>2650</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11"/>
      <c r="Q17" s="1810" t="str">
        <f>B17</f>
        <v>商业繁华度</v>
      </c>
      <c r="R17" s="774" t="s">
        <v>17</v>
      </c>
      <c r="S17" s="775">
        <f>F17</f>
        <v>100</v>
      </c>
      <c r="T17" s="774" t="s">
        <v>17</v>
      </c>
      <c r="U17" s="775">
        <f>H17</f>
        <v>100</v>
      </c>
      <c r="V17" s="774" t="s">
        <v>17</v>
      </c>
      <c r="W17" s="775">
        <f>J17</f>
        <v>100</v>
      </c>
      <c r="X17" s="1813"/>
      <c r="Y17" s="3211"/>
      <c r="Z17" s="1814" t="str">
        <f>Q17</f>
        <v>商业繁华度</v>
      </c>
      <c r="AA17" s="1811">
        <f t="shared" si="3"/>
        <v>1</v>
      </c>
      <c r="AB17" s="1811">
        <f t="shared" si="4"/>
        <v>1</v>
      </c>
      <c r="AC17" s="1811">
        <f t="shared" si="5"/>
        <v>1</v>
      </c>
    </row>
    <row r="18" spans="1:29" ht="15">
      <c r="A18" s="428"/>
      <c r="B18" s="456"/>
      <c r="C18" s="2607"/>
      <c r="D18" s="450"/>
      <c r="E18" s="2609"/>
      <c r="F18" s="450"/>
      <c r="G18" s="2609"/>
      <c r="H18" s="448"/>
      <c r="I18" s="2608"/>
      <c r="J18" s="448"/>
      <c r="K18" s="672"/>
      <c r="L18" s="1140"/>
      <c r="M18" s="1131"/>
      <c r="N18" s="1131"/>
      <c r="O18" s="1139"/>
      <c r="P18" s="3211"/>
      <c r="Q18" s="1810"/>
      <c r="R18" s="774"/>
      <c r="S18" s="775"/>
      <c r="T18" s="774"/>
      <c r="U18" s="775"/>
      <c r="V18" s="774"/>
      <c r="W18" s="775"/>
      <c r="X18" s="1813"/>
      <c r="Y18" s="3211"/>
      <c r="Z18" s="1814"/>
      <c r="AA18" s="1811">
        <v>1</v>
      </c>
      <c r="AB18" s="1811">
        <v>1</v>
      </c>
      <c r="AC18" s="1811">
        <v>1</v>
      </c>
    </row>
    <row r="19" spans="1:29" ht="15">
      <c r="A19" s="428"/>
      <c r="B19" s="451" t="s">
        <v>2684</v>
      </c>
      <c r="C19" s="2663" t="str">
        <f>估价对象房地状况!C17</f>
        <v>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11"/>
      <c r="Q19" s="1810" t="str">
        <f>B19</f>
        <v>办公集聚程度</v>
      </c>
      <c r="R19" s="774" t="s">
        <v>17</v>
      </c>
      <c r="S19" s="775">
        <f>F19</f>
        <v>100</v>
      </c>
      <c r="T19" s="774" t="s">
        <v>17</v>
      </c>
      <c r="U19" s="775">
        <f>H19</f>
        <v>100</v>
      </c>
      <c r="V19" s="774" t="s">
        <v>17</v>
      </c>
      <c r="W19" s="775">
        <f>J19</f>
        <v>100</v>
      </c>
      <c r="X19" s="1813"/>
      <c r="Y19" s="3211"/>
      <c r="Z19" s="1814" t="str">
        <f>Q19</f>
        <v>办公集聚程度</v>
      </c>
      <c r="AA19" s="1811">
        <f t="shared" si="3"/>
        <v>1</v>
      </c>
      <c r="AB19" s="1811">
        <f t="shared" si="4"/>
        <v>1</v>
      </c>
      <c r="AC19" s="1811">
        <f t="shared" si="5"/>
        <v>1</v>
      </c>
    </row>
    <row r="20" spans="1:29" ht="15">
      <c r="A20" s="428"/>
      <c r="B20" s="456"/>
      <c r="C20" s="447"/>
      <c r="D20" s="448"/>
      <c r="E20" s="2604"/>
      <c r="F20" s="448"/>
      <c r="G20" s="2604"/>
      <c r="H20" s="448"/>
      <c r="I20" s="2603"/>
      <c r="J20" s="448"/>
      <c r="K20" s="672"/>
      <c r="L20" s="1140"/>
      <c r="M20" s="1131"/>
      <c r="N20" s="1131"/>
      <c r="O20" s="1139"/>
      <c r="P20" s="3211"/>
      <c r="Q20" s="1810"/>
      <c r="R20" s="774"/>
      <c r="S20" s="775"/>
      <c r="T20" s="774"/>
      <c r="U20" s="775"/>
      <c r="V20" s="774"/>
      <c r="W20" s="775"/>
      <c r="X20" s="1813"/>
      <c r="Y20" s="3211"/>
      <c r="Z20" s="1814"/>
      <c r="AA20" s="1811">
        <v>1</v>
      </c>
      <c r="AB20" s="1811">
        <v>1</v>
      </c>
      <c r="AC20" s="1811">
        <v>1</v>
      </c>
    </row>
    <row r="21" spans="1:29" ht="15">
      <c r="A21" s="428"/>
      <c r="B21" s="451" t="s">
        <v>2706</v>
      </c>
      <c r="C21" s="2606"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11"/>
      <c r="Q21" s="1810" t="str">
        <f>B21</f>
        <v>交通便捷度</v>
      </c>
      <c r="R21" s="774" t="s">
        <v>17</v>
      </c>
      <c r="S21" s="775">
        <f>F21</f>
        <v>100</v>
      </c>
      <c r="T21" s="774" t="s">
        <v>17</v>
      </c>
      <c r="U21" s="775">
        <f>H21</f>
        <v>100</v>
      </c>
      <c r="V21" s="774" t="s">
        <v>17</v>
      </c>
      <c r="W21" s="775">
        <f>J21</f>
        <v>100</v>
      </c>
      <c r="X21" s="1813"/>
      <c r="Y21" s="3211"/>
      <c r="Z21" s="1814" t="str">
        <f>Q21</f>
        <v>交通便捷度</v>
      </c>
      <c r="AA21" s="1811">
        <f t="shared" si="3"/>
        <v>1</v>
      </c>
      <c r="AB21" s="1811">
        <f t="shared" si="4"/>
        <v>1</v>
      </c>
      <c r="AC21" s="1811">
        <f t="shared" si="5"/>
        <v>1</v>
      </c>
    </row>
    <row r="22" spans="1:29" ht="15">
      <c r="A22" s="428"/>
      <c r="B22" s="1384"/>
      <c r="C22" s="447"/>
      <c r="D22" s="450"/>
      <c r="E22" s="2604"/>
      <c r="F22" s="448"/>
      <c r="G22" s="2604"/>
      <c r="H22" s="448"/>
      <c r="I22" s="2603"/>
      <c r="J22" s="448"/>
      <c r="K22" s="672"/>
      <c r="L22" s="1140"/>
      <c r="M22" s="1131"/>
      <c r="N22" s="1131"/>
      <c r="O22" s="1139"/>
      <c r="P22" s="3211"/>
      <c r="Q22" s="1810"/>
      <c r="R22" s="774"/>
      <c r="S22" s="775"/>
      <c r="T22" s="774"/>
      <c r="U22" s="775"/>
      <c r="V22" s="774"/>
      <c r="W22" s="775"/>
      <c r="X22" s="1813"/>
      <c r="Y22" s="3211"/>
      <c r="Z22" s="1814"/>
      <c r="AA22" s="1811">
        <v>1</v>
      </c>
      <c r="AB22" s="1811">
        <v>1</v>
      </c>
      <c r="AC22" s="1811">
        <v>1</v>
      </c>
    </row>
    <row r="23" spans="1:29" ht="15">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11"/>
      <c r="Q23" s="1810" t="str">
        <f t="shared" ref="Q23:Q37" si="8">B23</f>
        <v>区域土地利用方向</v>
      </c>
      <c r="R23" s="774" t="s">
        <v>17</v>
      </c>
      <c r="S23" s="775">
        <f>F23</f>
        <v>100</v>
      </c>
      <c r="T23" s="774" t="s">
        <v>17</v>
      </c>
      <c r="U23" s="775">
        <f>H23</f>
        <v>100</v>
      </c>
      <c r="V23" s="774" t="s">
        <v>17</v>
      </c>
      <c r="W23" s="775">
        <f>J23</f>
        <v>100</v>
      </c>
      <c r="X23" s="1813"/>
      <c r="Y23" s="3211"/>
      <c r="Z23" s="1814" t="str">
        <f>Q23</f>
        <v>区域土地利用方向</v>
      </c>
      <c r="AA23" s="1811">
        <f t="shared" si="3"/>
        <v>1</v>
      </c>
      <c r="AB23" s="1811">
        <f t="shared" si="4"/>
        <v>1</v>
      </c>
      <c r="AC23" s="1811">
        <f t="shared" si="5"/>
        <v>1</v>
      </c>
    </row>
    <row r="24" spans="1:29" ht="15">
      <c r="A24" s="404"/>
      <c r="B24" s="456"/>
      <c r="C24" s="616"/>
      <c r="D24" s="448"/>
      <c r="E24" s="2604"/>
      <c r="F24" s="448"/>
      <c r="G24" s="2603"/>
      <c r="H24" s="448"/>
      <c r="I24" s="2603"/>
      <c r="J24" s="448"/>
      <c r="K24" s="812"/>
      <c r="L24" s="1140"/>
      <c r="M24" s="1131"/>
      <c r="N24" s="1131"/>
      <c r="O24" s="1139"/>
      <c r="P24" s="3211"/>
      <c r="Q24" s="1810"/>
      <c r="R24" s="774"/>
      <c r="S24" s="775"/>
      <c r="T24" s="774"/>
      <c r="U24" s="775"/>
      <c r="V24" s="774"/>
      <c r="W24" s="775"/>
      <c r="X24" s="1813"/>
      <c r="Y24" s="3211"/>
      <c r="Z24" s="1814"/>
      <c r="AA24" s="1811"/>
      <c r="AB24" s="1811"/>
      <c r="AC24" s="1811"/>
    </row>
    <row r="25" spans="1:29" ht="27">
      <c r="A25" s="404"/>
      <c r="B25" s="1384" t="s">
        <v>2746</v>
      </c>
      <c r="C25" s="2663"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11"/>
      <c r="Q25" s="1810" t="str">
        <f t="shared" si="8"/>
        <v>自然及人文环境状况</v>
      </c>
      <c r="R25" s="774" t="s">
        <v>17</v>
      </c>
      <c r="S25" s="775">
        <f>F25</f>
        <v>100</v>
      </c>
      <c r="T25" s="774" t="s">
        <v>17</v>
      </c>
      <c r="U25" s="775">
        <f>H25</f>
        <v>100</v>
      </c>
      <c r="V25" s="774" t="s">
        <v>17</v>
      </c>
      <c r="W25" s="775">
        <f>J25</f>
        <v>100</v>
      </c>
      <c r="X25" s="1813"/>
      <c r="Y25" s="3211"/>
      <c r="Z25" s="1814" t="str">
        <f>Q25</f>
        <v>自然及人文环境状况</v>
      </c>
      <c r="AA25" s="1811">
        <f t="shared" si="3"/>
        <v>1</v>
      </c>
      <c r="AB25" s="1811">
        <f t="shared" si="4"/>
        <v>1</v>
      </c>
      <c r="AC25" s="1811">
        <f t="shared" si="5"/>
        <v>1</v>
      </c>
    </row>
    <row r="26" spans="1:29" ht="15">
      <c r="A26" s="404"/>
      <c r="B26" s="456"/>
      <c r="C26" s="447"/>
      <c r="D26" s="448"/>
      <c r="E26" s="2610"/>
      <c r="F26" s="448"/>
      <c r="G26" s="2610"/>
      <c r="H26" s="448"/>
      <c r="I26" s="447"/>
      <c r="J26" s="448"/>
      <c r="K26" s="672"/>
      <c r="L26" s="1140"/>
      <c r="M26" s="1131"/>
      <c r="N26" s="1131"/>
      <c r="O26" s="1139"/>
      <c r="P26" s="3211"/>
      <c r="Q26" s="1810"/>
      <c r="R26" s="774"/>
      <c r="S26" s="775"/>
      <c r="T26" s="774"/>
      <c r="U26" s="775"/>
      <c r="V26" s="774"/>
      <c r="W26" s="775"/>
      <c r="X26" s="1813"/>
      <c r="Y26" s="3211"/>
      <c r="Z26" s="1814"/>
      <c r="AA26" s="1811">
        <v>1</v>
      </c>
      <c r="AB26" s="1811">
        <v>1</v>
      </c>
      <c r="AC26" s="1811">
        <v>1</v>
      </c>
    </row>
    <row r="27" spans="1:29" s="117" customFormat="1" ht="15">
      <c r="A27" s="649"/>
      <c r="B27" s="1384" t="s">
        <v>2651</v>
      </c>
      <c r="C27" s="2606"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11"/>
      <c r="Q27" s="1795" t="str">
        <f t="shared" si="8"/>
        <v>公共配套设施</v>
      </c>
      <c r="R27" s="770" t="s">
        <v>17</v>
      </c>
      <c r="S27" s="771">
        <f>F27</f>
        <v>100</v>
      </c>
      <c r="T27" s="770" t="s">
        <v>17</v>
      </c>
      <c r="U27" s="771">
        <f>H27</f>
        <v>100</v>
      </c>
      <c r="V27" s="770" t="s">
        <v>17</v>
      </c>
      <c r="W27" s="771">
        <f>J27</f>
        <v>100</v>
      </c>
      <c r="X27" s="772"/>
      <c r="Y27" s="3211"/>
      <c r="Z27" s="55" t="str">
        <f>Q27</f>
        <v>公共配套设施</v>
      </c>
      <c r="AA27" s="1811">
        <f>D27/F27</f>
        <v>1</v>
      </c>
      <c r="AB27" s="1811">
        <f>D27/H27</f>
        <v>1</v>
      </c>
      <c r="AC27" s="1811">
        <f>D27/J27</f>
        <v>1</v>
      </c>
    </row>
    <row r="28" spans="1:29" s="117" customFormat="1" ht="15">
      <c r="A28" s="649"/>
      <c r="B28" s="456"/>
      <c r="C28" s="2699"/>
      <c r="D28" s="448"/>
      <c r="E28" s="2610"/>
      <c r="F28" s="448"/>
      <c r="G28" s="2610"/>
      <c r="H28" s="448"/>
      <c r="I28" s="447"/>
      <c r="J28" s="448"/>
      <c r="K28" s="672"/>
      <c r="L28" s="1132"/>
      <c r="M28" s="1133"/>
      <c r="N28" s="1133"/>
      <c r="O28" s="1134"/>
      <c r="P28" s="3211"/>
      <c r="Q28" s="1795"/>
      <c r="R28" s="770"/>
      <c r="S28" s="771"/>
      <c r="T28" s="770"/>
      <c r="U28" s="771"/>
      <c r="V28" s="770"/>
      <c r="W28" s="771"/>
      <c r="X28" s="772"/>
      <c r="Y28" s="3211"/>
      <c r="Z28" s="55"/>
      <c r="AA28" s="1811">
        <v>1</v>
      </c>
      <c r="AB28" s="1811">
        <v>1</v>
      </c>
      <c r="AC28" s="1811">
        <v>1</v>
      </c>
    </row>
    <row r="29" spans="1:29" s="117" customFormat="1" ht="15">
      <c r="A29" s="649"/>
      <c r="B29" s="1384" t="s">
        <v>2652</v>
      </c>
      <c r="C29" s="2606"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11"/>
      <c r="Q29" s="1795" t="str">
        <f t="shared" ref="Q29" si="9">B29</f>
        <v>基础设施水平</v>
      </c>
      <c r="R29" s="770" t="s">
        <v>17</v>
      </c>
      <c r="S29" s="771">
        <f>F29</f>
        <v>100</v>
      </c>
      <c r="T29" s="770" t="s">
        <v>17</v>
      </c>
      <c r="U29" s="771">
        <f>H29</f>
        <v>100</v>
      </c>
      <c r="V29" s="770" t="s">
        <v>17</v>
      </c>
      <c r="W29" s="771">
        <f>J29</f>
        <v>100</v>
      </c>
      <c r="X29" s="772"/>
      <c r="Y29" s="3211"/>
      <c r="Z29" s="55" t="str">
        <f>Q29</f>
        <v>基础设施水平</v>
      </c>
      <c r="AA29" s="1811">
        <f>D29/F29</f>
        <v>1</v>
      </c>
      <c r="AB29" s="1811">
        <f>D29/H29</f>
        <v>1</v>
      </c>
      <c r="AC29" s="1811">
        <f>D29/J29</f>
        <v>1</v>
      </c>
    </row>
    <row r="30" spans="1:29" s="117" customFormat="1" ht="15">
      <c r="A30" s="649"/>
      <c r="B30" s="456"/>
      <c r="C30" s="2699"/>
      <c r="D30" s="448"/>
      <c r="E30" s="2700"/>
      <c r="F30" s="448"/>
      <c r="G30" s="2700"/>
      <c r="H30" s="448"/>
      <c r="I30" s="2700"/>
      <c r="J30" s="448"/>
      <c r="K30" s="672"/>
      <c r="L30" s="1132"/>
      <c r="M30" s="1133"/>
      <c r="N30" s="1133"/>
      <c r="O30" s="1134"/>
      <c r="P30" s="3211"/>
      <c r="Q30" s="1795"/>
      <c r="R30" s="770"/>
      <c r="S30" s="771"/>
      <c r="T30" s="770"/>
      <c r="U30" s="771"/>
      <c r="V30" s="770"/>
      <c r="W30" s="771"/>
      <c r="X30" s="772"/>
      <c r="Y30" s="3211"/>
      <c r="Z30" s="55"/>
      <c r="AA30" s="1811">
        <v>1</v>
      </c>
      <c r="AB30" s="1811">
        <v>1</v>
      </c>
      <c r="AC30" s="1811">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11"/>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11"/>
      <c r="Z31" s="1814" t="str">
        <f t="shared" ref="Z31:Z45" si="13">Q31</f>
        <v>临街状况</v>
      </c>
      <c r="AA31" s="1811">
        <f t="shared" si="3"/>
        <v>1</v>
      </c>
      <c r="AB31" s="1811">
        <f t="shared" si="4"/>
        <v>1</v>
      </c>
      <c r="AC31" s="1811">
        <f t="shared" si="5"/>
        <v>1</v>
      </c>
    </row>
    <row r="32" spans="1:29" ht="27">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1"/>
      <c r="Q32" s="1810" t="str">
        <f t="shared" si="8"/>
        <v>毗邻道路的类型与等级</v>
      </c>
      <c r="R32" s="774" t="s">
        <v>17</v>
      </c>
      <c r="S32" s="775">
        <f t="shared" si="10"/>
        <v>100</v>
      </c>
      <c r="T32" s="774" t="s">
        <v>17</v>
      </c>
      <c r="U32" s="775">
        <f t="shared" si="11"/>
        <v>100</v>
      </c>
      <c r="V32" s="774" t="s">
        <v>17</v>
      </c>
      <c r="W32" s="775">
        <f t="shared" si="12"/>
        <v>100</v>
      </c>
      <c r="X32" s="1813"/>
      <c r="Y32" s="3211"/>
      <c r="Z32" s="1814" t="str">
        <f t="shared" si="13"/>
        <v>毗邻道路的类型与等级</v>
      </c>
      <c r="AA32" s="1811">
        <f t="shared" si="3"/>
        <v>1</v>
      </c>
      <c r="AB32" s="1811">
        <f t="shared" si="4"/>
        <v>1</v>
      </c>
      <c r="AC32" s="1811">
        <f t="shared" si="5"/>
        <v>1</v>
      </c>
    </row>
    <row r="33" spans="1:29" ht="15">
      <c r="A33" s="428"/>
      <c r="B33" s="456"/>
      <c r="C33" s="447"/>
      <c r="D33" s="448"/>
      <c r="E33" s="2610"/>
      <c r="F33" s="448"/>
      <c r="G33" s="2610"/>
      <c r="H33" s="448"/>
      <c r="I33" s="447"/>
      <c r="J33" s="448"/>
      <c r="K33" s="613"/>
      <c r="L33" s="1140"/>
      <c r="M33" s="1131"/>
      <c r="N33" s="1131"/>
      <c r="O33" s="1139"/>
      <c r="P33" s="3211"/>
      <c r="Q33" s="1810"/>
      <c r="R33" s="774"/>
      <c r="S33" s="775"/>
      <c r="T33" s="774"/>
      <c r="U33" s="775"/>
      <c r="V33" s="774"/>
      <c r="W33" s="775"/>
      <c r="X33" s="1813"/>
      <c r="Y33" s="3211"/>
      <c r="Z33" s="1814"/>
      <c r="AA33" s="1811">
        <v>1</v>
      </c>
      <c r="AB33" s="1811">
        <v>1</v>
      </c>
      <c r="AC33" s="1811">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1"/>
      <c r="Q34" s="1810" t="str">
        <f t="shared" si="8"/>
        <v>土地级别</v>
      </c>
      <c r="R34" s="774" t="s">
        <v>17</v>
      </c>
      <c r="S34" s="775">
        <f t="shared" si="10"/>
        <v>100</v>
      </c>
      <c r="T34" s="774" t="s">
        <v>17</v>
      </c>
      <c r="U34" s="775">
        <f t="shared" si="11"/>
        <v>100</v>
      </c>
      <c r="V34" s="774" t="s">
        <v>17</v>
      </c>
      <c r="W34" s="775">
        <f t="shared" si="12"/>
        <v>100</v>
      </c>
      <c r="X34" s="1813"/>
      <c r="Y34" s="3211"/>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1"/>
      <c r="Q35" s="1810">
        <f t="shared" si="8"/>
        <v>111</v>
      </c>
      <c r="R35" s="774" t="s">
        <v>17</v>
      </c>
      <c r="S35" s="775">
        <f t="shared" si="10"/>
        <v>100</v>
      </c>
      <c r="T35" s="774" t="s">
        <v>17</v>
      </c>
      <c r="U35" s="775">
        <f t="shared" si="11"/>
        <v>100</v>
      </c>
      <c r="V35" s="774" t="s">
        <v>17</v>
      </c>
      <c r="W35" s="775">
        <f t="shared" si="12"/>
        <v>100</v>
      </c>
      <c r="X35" s="1813"/>
      <c r="Y35" s="3211"/>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8" t="s">
        <v>2562</v>
      </c>
      <c r="Q36" s="1810">
        <f t="shared" si="8"/>
        <v>111</v>
      </c>
      <c r="R36" s="774" t="s">
        <v>17</v>
      </c>
      <c r="S36" s="775">
        <f t="shared" si="10"/>
        <v>100</v>
      </c>
      <c r="T36" s="774" t="s">
        <v>17</v>
      </c>
      <c r="U36" s="775">
        <f t="shared" si="11"/>
        <v>100</v>
      </c>
      <c r="V36" s="774" t="s">
        <v>17</v>
      </c>
      <c r="W36" s="775">
        <f t="shared" si="12"/>
        <v>100</v>
      </c>
      <c r="X36" s="1813"/>
      <c r="Y36" s="3215" t="s">
        <v>2562</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5"/>
      <c r="Q37" s="1810">
        <f t="shared" si="8"/>
        <v>111</v>
      </c>
      <c r="R37" s="777" t="s">
        <v>17</v>
      </c>
      <c r="S37" s="778">
        <f t="shared" si="10"/>
        <v>100</v>
      </c>
      <c r="T37" s="777" t="s">
        <v>17</v>
      </c>
      <c r="U37" s="778">
        <f t="shared" si="11"/>
        <v>100</v>
      </c>
      <c r="V37" s="777" t="s">
        <v>17</v>
      </c>
      <c r="W37" s="778">
        <f t="shared" si="12"/>
        <v>100</v>
      </c>
      <c r="X37" s="779"/>
      <c r="Y37" s="3215"/>
      <c r="Z37" s="780">
        <f t="shared" si="13"/>
        <v>111</v>
      </c>
      <c r="AA37" s="1811">
        <f t="shared" si="3"/>
        <v>1</v>
      </c>
      <c r="AB37" s="1811">
        <f t="shared" si="4"/>
        <v>1</v>
      </c>
      <c r="AC37" s="1811">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5"/>
      <c r="Q38" s="1810" t="str">
        <f>B38</f>
        <v>宗地面积</v>
      </c>
      <c r="R38" s="774" t="s">
        <v>17</v>
      </c>
      <c r="S38" s="775" t="e">
        <f t="shared" si="10"/>
        <v>#N/A</v>
      </c>
      <c r="T38" s="774" t="s">
        <v>17</v>
      </c>
      <c r="U38" s="775" t="e">
        <f t="shared" si="11"/>
        <v>#N/A</v>
      </c>
      <c r="V38" s="774" t="s">
        <v>17</v>
      </c>
      <c r="W38" s="775" t="e">
        <f t="shared" si="12"/>
        <v>#N/A</v>
      </c>
      <c r="X38" s="1813"/>
      <c r="Y38" s="3215"/>
      <c r="Z38" s="1814" t="str">
        <f t="shared" si="13"/>
        <v>宗地面积</v>
      </c>
      <c r="AA38" s="1811" t="e">
        <f t="shared" si="3"/>
        <v>#N/A</v>
      </c>
      <c r="AB38" s="1811" t="e">
        <f t="shared" si="4"/>
        <v>#N/A</v>
      </c>
      <c r="AC38" s="1811" t="e">
        <f t="shared" si="5"/>
        <v>#N/A</v>
      </c>
    </row>
    <row r="39" spans="1:29" ht="15">
      <c r="A39" s="472"/>
      <c r="B39" s="422" t="s">
        <v>2749</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0"/>
      <c r="M39" s="1131"/>
      <c r="N39" s="1131"/>
      <c r="O39" s="1139"/>
      <c r="P39" s="3215"/>
      <c r="Q39" s="1810" t="str">
        <f t="shared" ref="Q39:Q45" si="14">B39</f>
        <v>宗地形状</v>
      </c>
      <c r="R39" s="774" t="s">
        <v>17</v>
      </c>
      <c r="S39" s="775">
        <f t="shared" si="10"/>
        <v>100</v>
      </c>
      <c r="T39" s="774" t="s">
        <v>17</v>
      </c>
      <c r="U39" s="775">
        <f t="shared" si="11"/>
        <v>100</v>
      </c>
      <c r="V39" s="774" t="s">
        <v>17</v>
      </c>
      <c r="W39" s="775">
        <f t="shared" si="12"/>
        <v>100</v>
      </c>
      <c r="X39" s="1813"/>
      <c r="Y39" s="3215"/>
      <c r="Z39" s="1814" t="str">
        <f t="shared" si="13"/>
        <v>宗地形状</v>
      </c>
      <c r="AA39" s="1811">
        <f t="shared" si="3"/>
        <v>1</v>
      </c>
      <c r="AB39" s="1811">
        <f t="shared" si="4"/>
        <v>1</v>
      </c>
      <c r="AC39" s="1811">
        <f t="shared" si="5"/>
        <v>1</v>
      </c>
    </row>
    <row r="40" spans="1:29" ht="15">
      <c r="A40" s="472"/>
      <c r="B40" s="422" t="s">
        <v>2750</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0"/>
      <c r="M40" s="1131"/>
      <c r="N40" s="1131"/>
      <c r="O40" s="1139"/>
      <c r="P40" s="3215"/>
      <c r="Q40" s="1810" t="str">
        <f t="shared" si="14"/>
        <v>临街宽度及深度</v>
      </c>
      <c r="R40" s="774" t="s">
        <v>17</v>
      </c>
      <c r="S40" s="775">
        <f t="shared" si="10"/>
        <v>100</v>
      </c>
      <c r="T40" s="774" t="s">
        <v>17</v>
      </c>
      <c r="U40" s="775">
        <f t="shared" si="11"/>
        <v>100</v>
      </c>
      <c r="V40" s="774" t="s">
        <v>17</v>
      </c>
      <c r="W40" s="775">
        <f t="shared" si="12"/>
        <v>100</v>
      </c>
      <c r="X40" s="1813"/>
      <c r="Y40" s="3215"/>
      <c r="Z40" s="1814" t="str">
        <f t="shared" si="13"/>
        <v>临街宽度及深度</v>
      </c>
      <c r="AA40" s="1811">
        <f t="shared" si="3"/>
        <v>1</v>
      </c>
      <c r="AB40" s="1811">
        <f t="shared" si="4"/>
        <v>1</v>
      </c>
      <c r="AC40" s="1811">
        <f t="shared" si="5"/>
        <v>1</v>
      </c>
    </row>
    <row r="41" spans="1:29" s="117" customFormat="1" ht="15">
      <c r="A41" s="473"/>
      <c r="B41" s="422" t="s">
        <v>2751</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2"/>
      <c r="M41" s="1133"/>
      <c r="N41" s="1133"/>
      <c r="O41" s="1134"/>
      <c r="P41" s="3215"/>
      <c r="Q41" s="1810" t="str">
        <f t="shared" si="14"/>
        <v>宗地开发程度</v>
      </c>
      <c r="R41" s="770" t="s">
        <v>17</v>
      </c>
      <c r="S41" s="771">
        <f t="shared" si="10"/>
        <v>100</v>
      </c>
      <c r="T41" s="770" t="s">
        <v>17</v>
      </c>
      <c r="U41" s="771">
        <f t="shared" si="11"/>
        <v>100</v>
      </c>
      <c r="V41" s="770" t="s">
        <v>17</v>
      </c>
      <c r="W41" s="771">
        <f t="shared" si="12"/>
        <v>100</v>
      </c>
      <c r="X41" s="772"/>
      <c r="Y41" s="3215"/>
      <c r="Z41" s="55" t="str">
        <f t="shared" si="13"/>
        <v>宗地开发程度</v>
      </c>
      <c r="AA41" s="773">
        <f t="shared" si="3"/>
        <v>1</v>
      </c>
      <c r="AB41" s="773">
        <f t="shared" si="4"/>
        <v>1</v>
      </c>
      <c r="AC41" s="773">
        <f t="shared" si="5"/>
        <v>1</v>
      </c>
    </row>
    <row r="42" spans="1:29" ht="15">
      <c r="A42" s="472"/>
      <c r="B42" s="422" t="s">
        <v>2752</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0"/>
      <c r="M42" s="1131"/>
      <c r="N42" s="1131"/>
      <c r="O42" s="1139"/>
      <c r="P42" s="3215" t="s">
        <v>2562</v>
      </c>
      <c r="Q42" s="1810" t="str">
        <f t="shared" si="14"/>
        <v>工程地质条件</v>
      </c>
      <c r="R42" s="774" t="s">
        <v>17</v>
      </c>
      <c r="S42" s="775">
        <f t="shared" si="10"/>
        <v>100</v>
      </c>
      <c r="T42" s="774" t="s">
        <v>17</v>
      </c>
      <c r="U42" s="775">
        <f t="shared" si="11"/>
        <v>100</v>
      </c>
      <c r="V42" s="774" t="s">
        <v>17</v>
      </c>
      <c r="W42" s="775">
        <f t="shared" si="12"/>
        <v>100</v>
      </c>
      <c r="X42" s="1813"/>
      <c r="Y42" s="3215" t="s">
        <v>2562</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5"/>
      <c r="Q43" s="1810">
        <f t="shared" si="14"/>
        <v>111</v>
      </c>
      <c r="R43" s="774" t="s">
        <v>17</v>
      </c>
      <c r="S43" s="775">
        <f t="shared" si="10"/>
        <v>100</v>
      </c>
      <c r="T43" s="774" t="s">
        <v>17</v>
      </c>
      <c r="U43" s="775">
        <f t="shared" si="11"/>
        <v>100</v>
      </c>
      <c r="V43" s="774" t="s">
        <v>17</v>
      </c>
      <c r="W43" s="775">
        <f t="shared" si="12"/>
        <v>100</v>
      </c>
      <c r="X43" s="1813"/>
      <c r="Y43" s="3215"/>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5"/>
      <c r="Q44" s="1810">
        <f t="shared" si="14"/>
        <v>111</v>
      </c>
      <c r="R44" s="774" t="s">
        <v>17</v>
      </c>
      <c r="S44" s="775">
        <f t="shared" si="10"/>
        <v>100</v>
      </c>
      <c r="T44" s="774" t="s">
        <v>17</v>
      </c>
      <c r="U44" s="775">
        <f t="shared" si="11"/>
        <v>100</v>
      </c>
      <c r="V44" s="774" t="s">
        <v>17</v>
      </c>
      <c r="W44" s="775">
        <f t="shared" si="12"/>
        <v>100</v>
      </c>
      <c r="X44" s="1813"/>
      <c r="Y44" s="3215"/>
      <c r="Z44" s="1814">
        <f t="shared" si="13"/>
        <v>111</v>
      </c>
      <c r="AA44" s="1811">
        <f t="shared" si="3"/>
        <v>1</v>
      </c>
      <c r="AB44" s="1811">
        <f t="shared" si="4"/>
        <v>1</v>
      </c>
      <c r="AC44" s="1811">
        <f t="shared" si="5"/>
        <v>1</v>
      </c>
    </row>
    <row r="45" spans="1:29" s="471" customFormat="1" ht="15.75" thickBot="1">
      <c r="A45" s="468"/>
      <c r="B45" s="1387">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5"/>
      <c r="Q45" s="1810">
        <f t="shared" si="14"/>
        <v>111</v>
      </c>
      <c r="R45" s="777" t="s">
        <v>17</v>
      </c>
      <c r="S45" s="778">
        <f t="shared" si="10"/>
        <v>100</v>
      </c>
      <c r="T45" s="777" t="s">
        <v>17</v>
      </c>
      <c r="U45" s="778">
        <f t="shared" si="11"/>
        <v>100</v>
      </c>
      <c r="V45" s="777" t="s">
        <v>17</v>
      </c>
      <c r="W45" s="778">
        <f t="shared" si="12"/>
        <v>100</v>
      </c>
      <c r="X45" s="779"/>
      <c r="Y45" s="3215"/>
      <c r="Z45" s="780">
        <f t="shared" si="13"/>
        <v>111</v>
      </c>
      <c r="AA45" s="1811">
        <f t="shared" si="3"/>
        <v>1</v>
      </c>
      <c r="AB45" s="1811">
        <f t="shared" si="4"/>
        <v>1</v>
      </c>
      <c r="AC45" s="1811">
        <f t="shared" si="5"/>
        <v>1</v>
      </c>
    </row>
    <row r="46" spans="1:29" ht="15">
      <c r="A46" s="479" t="s">
        <v>2717</v>
      </c>
      <c r="B46" s="2703" t="s">
        <v>2753</v>
      </c>
      <c r="C46" s="682" t="s">
        <v>1</v>
      </c>
      <c r="D46" s="481"/>
      <c r="E46" s="482"/>
      <c r="F46" s="483"/>
      <c r="G46" s="484"/>
      <c r="H46" s="485"/>
      <c r="I46" s="482"/>
      <c r="J46" s="485"/>
      <c r="K46" s="783"/>
      <c r="L46" s="1143"/>
      <c r="M46" s="1144"/>
      <c r="N46" s="1131"/>
      <c r="O46" s="1144"/>
      <c r="P46" s="3208" t="str">
        <f>A46</f>
        <v>成交单价</v>
      </c>
      <c r="Q46" s="3208"/>
      <c r="R46" s="3239">
        <f>E46</f>
        <v>0</v>
      </c>
      <c r="S46" s="3239"/>
      <c r="T46" s="3239">
        <f>G46</f>
        <v>0</v>
      </c>
      <c r="U46" s="3239"/>
      <c r="V46" s="3239">
        <f>I46</f>
        <v>0</v>
      </c>
      <c r="W46" s="3239"/>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208" t="str">
        <f>A47</f>
        <v>比较价值（元/平方米）</v>
      </c>
      <c r="Q47" s="3208"/>
      <c r="R47" s="3269" t="e">
        <f>ROUND(PRODUCT(R46,AA7:AA45),0)</f>
        <v>#DIV/0!</v>
      </c>
      <c r="S47" s="3269"/>
      <c r="T47" s="3269" t="e">
        <f>ROUND(PRODUCT(T46,AB7:AB45),0)</f>
        <v>#DIV/0!</v>
      </c>
      <c r="U47" s="3269"/>
      <c r="V47" s="3269" t="e">
        <f>ROUND(PRODUCT(V46,AC7:AC45),0)</f>
        <v>#DIV/0!</v>
      </c>
      <c r="W47" s="3269"/>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3"/>
      <c r="M48" s="1144"/>
      <c r="N48" s="1144"/>
      <c r="O48" s="1144"/>
      <c r="P48" s="3205" t="str">
        <f>A48</f>
        <v>估价对象XX用房的比较价值（楼面单价，元/平方米）</v>
      </c>
      <c r="Q48" s="3206"/>
      <c r="R48" s="3270" t="e">
        <f>ROUND(AVERAGE(R47:V47),0)</f>
        <v>#DIV/0!</v>
      </c>
      <c r="S48" s="3270"/>
      <c r="T48" s="3270"/>
      <c r="U48" s="3270"/>
      <c r="V48" s="3270"/>
      <c r="W48" s="3270"/>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4" t="s">
        <v>2757</v>
      </c>
      <c r="D55" s="2705" t="s">
        <v>2758</v>
      </c>
      <c r="E55" s="686" t="s">
        <v>2759</v>
      </c>
      <c r="F55" s="1107" t="s">
        <v>2760</v>
      </c>
      <c r="G55" s="3223" t="s">
        <v>2761</v>
      </c>
      <c r="H55" s="3271"/>
      <c r="I55" s="144" t="s">
        <v>2762</v>
      </c>
      <c r="J55" s="2706">
        <f>项目基本情况!F35</f>
        <v>0</v>
      </c>
      <c r="K55" s="2707" t="s">
        <v>2763</v>
      </c>
      <c r="L55" s="1106"/>
      <c r="M55" s="1144"/>
      <c r="N55" s="1144"/>
      <c r="O55" s="1144"/>
    </row>
    <row r="56" spans="1:15" s="692" customFormat="1">
      <c r="A56" s="688" t="s">
        <v>2764</v>
      </c>
      <c r="B56" s="689" t="e">
        <f>C48</f>
        <v>#DIV/0!</v>
      </c>
      <c r="C56" s="690">
        <v>1</v>
      </c>
      <c r="D56" s="1163">
        <v>1</v>
      </c>
      <c r="E56" s="690">
        <f>'数据-汇总表'!E8+'数据-汇总表'!E9</f>
        <v>5028.579999999999</v>
      </c>
      <c r="F56" s="1103" t="e">
        <f t="shared" ref="F56:F65" si="15">ROUND(B56*E56/10000,0)</f>
        <v>#DIV/0!</v>
      </c>
      <c r="G56" s="3219"/>
      <c r="H56" s="3208"/>
      <c r="I56" s="1108">
        <v>1</v>
      </c>
      <c r="J56" s="1111">
        <v>1</v>
      </c>
      <c r="K56" s="1145"/>
      <c r="L56" s="941"/>
      <c r="M56" s="941"/>
      <c r="N56" s="941"/>
      <c r="O56" s="941"/>
    </row>
    <row r="57" spans="1:15" s="692" customFormat="1">
      <c r="A57" s="693" t="s">
        <v>2765</v>
      </c>
      <c r="B57" s="262" t="e">
        <f>ROUND($C$48*C57*D57,0)</f>
        <v>#DIV/0!</v>
      </c>
      <c r="C57" s="200">
        <f t="shared" ref="C57:C65" si="16">IF($C$55="北京市系数",I57,J57)</f>
        <v>0</v>
      </c>
      <c r="D57" s="1164">
        <v>0.25</v>
      </c>
      <c r="E57" s="694"/>
      <c r="F57" s="1103" t="e">
        <f t="shared" si="15"/>
        <v>#DIV/0!</v>
      </c>
      <c r="G57" s="3272" t="s">
        <v>2766</v>
      </c>
      <c r="H57" s="1104">
        <f>项目基本情况!B37</f>
        <v>0</v>
      </c>
      <c r="I57" s="1108">
        <f>SUMIF(修正!A45:A56,H57,修正!B45:B56)</f>
        <v>0</v>
      </c>
      <c r="J57" s="1112"/>
      <c r="K57" s="1144"/>
      <c r="L57" s="941"/>
      <c r="M57" s="941"/>
      <c r="N57" s="941"/>
      <c r="O57" s="941"/>
    </row>
    <row r="58" spans="1:15" s="692" customFormat="1">
      <c r="A58" s="693" t="s">
        <v>2767</v>
      </c>
      <c r="B58" s="262" t="e">
        <f t="shared" ref="B58:B65" si="17">ROUND($C$48*C58*D58,0)</f>
        <v>#DIV/0!</v>
      </c>
      <c r="C58" s="200">
        <f t="shared" si="16"/>
        <v>0</v>
      </c>
      <c r="D58" s="1164">
        <v>0.25</v>
      </c>
      <c r="E58" s="694"/>
      <c r="F58" s="1103" t="e">
        <f t="shared" si="15"/>
        <v>#DIV/0!</v>
      </c>
      <c r="G58" s="3272"/>
      <c r="H58" s="1104">
        <f>项目基本情况!B37</f>
        <v>0</v>
      </c>
      <c r="I58" s="1108">
        <f>SUMIF(修正!A45:A56,H58,修正!C45:C56)</f>
        <v>0</v>
      </c>
      <c r="J58" s="1112"/>
      <c r="K58" s="1145"/>
      <c r="L58" s="941"/>
      <c r="M58" s="941"/>
      <c r="N58" s="941"/>
      <c r="O58" s="941"/>
    </row>
    <row r="59" spans="1:15" s="692" customFormat="1">
      <c r="A59" s="693" t="s">
        <v>2768</v>
      </c>
      <c r="B59" s="262" t="e">
        <f t="shared" si="17"/>
        <v>#DIV/0!</v>
      </c>
      <c r="C59" s="200">
        <f t="shared" si="16"/>
        <v>0</v>
      </c>
      <c r="D59" s="1164">
        <v>0.25</v>
      </c>
      <c r="E59" s="694"/>
      <c r="F59" s="1103" t="e">
        <f t="shared" si="15"/>
        <v>#DIV/0!</v>
      </c>
      <c r="G59" s="3272"/>
      <c r="H59" s="1104">
        <f>项目基本情况!B37</f>
        <v>0</v>
      </c>
      <c r="I59" s="1108">
        <f>SUMIF(修正!A45:A56,H59,修正!D45:D56)</f>
        <v>0</v>
      </c>
      <c r="J59" s="1112"/>
      <c r="K59" s="1144"/>
      <c r="L59" s="941"/>
      <c r="M59" s="941"/>
      <c r="N59" s="941"/>
      <c r="O59" s="941"/>
    </row>
    <row r="60" spans="1:15" s="692" customFormat="1">
      <c r="A60" s="693" t="s">
        <v>2769</v>
      </c>
      <c r="B60" s="262" t="e">
        <f t="shared" si="17"/>
        <v>#DIV/0!</v>
      </c>
      <c r="C60" s="200">
        <f t="shared" si="16"/>
        <v>0</v>
      </c>
      <c r="D60" s="1164">
        <v>0.25</v>
      </c>
      <c r="E60" s="694"/>
      <c r="F60" s="1103" t="e">
        <f t="shared" si="15"/>
        <v>#DIV/0!</v>
      </c>
      <c r="G60" s="3272"/>
      <c r="H60" s="1104">
        <f>项目基本情况!B37</f>
        <v>0</v>
      </c>
      <c r="I60" s="1108">
        <f>SUMIF(修正!A45:A56,H60,修正!E45:E56)</f>
        <v>0</v>
      </c>
      <c r="J60" s="1112"/>
      <c r="K60" s="1145"/>
      <c r="L60" s="941"/>
      <c r="M60" s="941"/>
      <c r="N60" s="941"/>
      <c r="O60" s="941"/>
    </row>
    <row r="61" spans="1:15" s="692" customFormat="1">
      <c r="A61" s="693" t="s">
        <v>2770</v>
      </c>
      <c r="B61" s="262" t="e">
        <f t="shared" si="17"/>
        <v>#DIV/0!</v>
      </c>
      <c r="C61" s="200">
        <f t="shared" si="16"/>
        <v>0.3</v>
      </c>
      <c r="D61" s="1164">
        <v>0.25</v>
      </c>
      <c r="E61" s="261">
        <f>'数据-汇总表'!E11</f>
        <v>0</v>
      </c>
      <c r="F61" s="1103" t="e">
        <f t="shared" si="15"/>
        <v>#DIV/0!</v>
      </c>
      <c r="G61" s="2708" t="s">
        <v>2771</v>
      </c>
      <c r="H61" s="1104" t="str">
        <f>项目基本情况!C37</f>
        <v>二级</v>
      </c>
      <c r="I61" s="1108">
        <f>SUMIF(修正!A45:A56,H61,修正!F45:F56)</f>
        <v>0.3</v>
      </c>
      <c r="J61" s="1112"/>
      <c r="K61" s="1144"/>
      <c r="L61" s="941"/>
      <c r="M61" s="941"/>
      <c r="N61" s="941"/>
      <c r="O61" s="941"/>
    </row>
    <row r="62" spans="1:15" s="692" customFormat="1">
      <c r="A62" s="693" t="s">
        <v>2772</v>
      </c>
      <c r="B62" s="262" t="e">
        <f t="shared" si="17"/>
        <v>#DIV/0!</v>
      </c>
      <c r="C62" s="200">
        <f t="shared" si="16"/>
        <v>0.3</v>
      </c>
      <c r="D62" s="1164">
        <v>0.25</v>
      </c>
      <c r="E62" s="261">
        <f>'数据-汇总表'!E12</f>
        <v>0</v>
      </c>
      <c r="F62" s="1103" t="e">
        <f t="shared" si="15"/>
        <v>#DIV/0!</v>
      </c>
      <c r="G62" s="1109" t="s">
        <v>2773</v>
      </c>
      <c r="H62" s="1104" t="str">
        <f>IF(G62="商业",项目基本情况!B37,IF(G62="办公",项目基本情况!C37,IF(G62="住宅",项目基本情况!D37,项目基本情况!E37)))</f>
        <v>二级</v>
      </c>
      <c r="I62" s="1108">
        <f>SUMIF(修正!A45:A56,H62,修正!G45:G56)</f>
        <v>0.3</v>
      </c>
      <c r="J62" s="1112"/>
      <c r="K62" s="1145"/>
      <c r="L62" s="941"/>
      <c r="M62" s="941"/>
      <c r="N62" s="941"/>
      <c r="O62" s="941"/>
    </row>
    <row r="63" spans="1:15" s="692" customFormat="1">
      <c r="A63" s="693" t="s">
        <v>2774</v>
      </c>
      <c r="B63" s="262" t="e">
        <f t="shared" si="17"/>
        <v>#DIV/0!</v>
      </c>
      <c r="C63" s="200">
        <f t="shared" si="16"/>
        <v>0.25</v>
      </c>
      <c r="D63" s="1164">
        <v>0.25</v>
      </c>
      <c r="E63" s="261">
        <f>'数据-汇总表'!E13</f>
        <v>0</v>
      </c>
      <c r="F63" s="1103" t="e">
        <f t="shared" si="15"/>
        <v>#DIV/0!</v>
      </c>
      <c r="G63" s="1109" t="s">
        <v>2775</v>
      </c>
      <c r="H63" s="1104" t="str">
        <f>IF(G63="商业",项目基本情况!B37,IF(G63="办公",项目基本情况!C37,IF(G63="住宅",项目基本情况!D37,项目基本情况!E37)))</f>
        <v>二级</v>
      </c>
      <c r="I63" s="1108">
        <f>SUMIF(修正!A45:A56,H63,修正!H45:H56)</f>
        <v>0.25</v>
      </c>
      <c r="J63" s="1112"/>
      <c r="K63" s="1144"/>
      <c r="L63" s="941"/>
      <c r="M63" s="941"/>
      <c r="N63" s="941"/>
      <c r="O63" s="941"/>
    </row>
    <row r="64" spans="1:15" s="692" customFormat="1">
      <c r="A64" s="693" t="s">
        <v>2776</v>
      </c>
      <c r="B64" s="262" t="e">
        <f t="shared" si="17"/>
        <v>#DIV/0!</v>
      </c>
      <c r="C64" s="200">
        <f t="shared" si="16"/>
        <v>0</v>
      </c>
      <c r="D64" s="1164">
        <v>0.25</v>
      </c>
      <c r="E64" s="261">
        <f>'数据-汇总表'!E14</f>
        <v>0</v>
      </c>
      <c r="F64" s="1103" t="e">
        <f t="shared" si="15"/>
        <v>#DIV/0!</v>
      </c>
      <c r="G64" s="2708" t="s">
        <v>2766</v>
      </c>
      <c r="H64" s="1104">
        <f>项目基本情况!B37</f>
        <v>0</v>
      </c>
      <c r="I64" s="1108">
        <f>SUMIF(修正!A45:A56,H64,修正!H45:H56)</f>
        <v>0</v>
      </c>
      <c r="J64" s="1112"/>
      <c r="K64" s="1145"/>
      <c r="L64" s="941"/>
      <c r="M64" s="941"/>
      <c r="N64" s="941"/>
      <c r="O64" s="941"/>
    </row>
    <row r="65" spans="1:17" s="692" customFormat="1" ht="15" thickBot="1">
      <c r="A65" s="693" t="s">
        <v>2777</v>
      </c>
      <c r="B65" s="262" t="e">
        <f t="shared" si="17"/>
        <v>#DIV/0!</v>
      </c>
      <c r="C65" s="200">
        <f t="shared" si="16"/>
        <v>0.25</v>
      </c>
      <c r="D65" s="1164">
        <v>0.25</v>
      </c>
      <c r="E65" s="261">
        <f>'数据-汇总表'!E15</f>
        <v>0</v>
      </c>
      <c r="F65" s="1103" t="e">
        <f t="shared" si="15"/>
        <v>#DIV/0!</v>
      </c>
      <c r="G65" s="2709" t="s">
        <v>2771</v>
      </c>
      <c r="H65" s="1114" t="str">
        <f>项目基本情况!C37</f>
        <v>二级</v>
      </c>
      <c r="I65" s="1110">
        <f>SUMIF(修正!A45:A56,H65,修正!H45:H56)</f>
        <v>0.25</v>
      </c>
      <c r="J65" s="1113"/>
      <c r="K65" s="1144"/>
      <c r="L65" s="941"/>
      <c r="M65" s="941"/>
      <c r="N65" s="941"/>
      <c r="O65" s="941"/>
    </row>
    <row r="66" spans="1:17" s="692" customFormat="1" ht="13.5" thickBot="1">
      <c r="A66" s="695" t="s">
        <v>2778</v>
      </c>
      <c r="B66" s="696" t="s">
        <v>28</v>
      </c>
      <c r="C66" s="696" t="s">
        <v>29</v>
      </c>
      <c r="D66" s="696" t="s">
        <v>1026</v>
      </c>
      <c r="E66" s="696">
        <f>IF(B46="楼面地价",SUM(E56:E65),'数据-汇总表'!D3)</f>
        <v>5028.579999999999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2019-11-1</v>
      </c>
      <c r="D68" s="761">
        <f>EDATE(C68,-3)</f>
        <v>43678</v>
      </c>
      <c r="E68" s="761">
        <f>EDATE(D68,-3)</f>
        <v>43586</v>
      </c>
      <c r="F68" s="761">
        <f t="shared" ref="F68:O68" si="18">EDATE(E68,-3)</f>
        <v>43497</v>
      </c>
      <c r="G68" s="761">
        <f t="shared" si="18"/>
        <v>43405</v>
      </c>
      <c r="H68" s="761">
        <f t="shared" si="18"/>
        <v>43313</v>
      </c>
      <c r="I68" s="761">
        <f t="shared" si="18"/>
        <v>43221</v>
      </c>
      <c r="J68" s="761">
        <f t="shared" si="18"/>
        <v>43132</v>
      </c>
      <c r="K68" s="761">
        <f t="shared" si="18"/>
        <v>43040</v>
      </c>
      <c r="L68" s="761">
        <f t="shared" si="18"/>
        <v>42948</v>
      </c>
      <c r="M68" s="761">
        <f t="shared" si="18"/>
        <v>42856</v>
      </c>
      <c r="N68" s="761">
        <f t="shared" si="18"/>
        <v>42767</v>
      </c>
      <c r="O68" s="761">
        <f t="shared" si="18"/>
        <v>42675</v>
      </c>
    </row>
    <row r="69" spans="1:17" ht="21.75" thickBot="1">
      <c r="A69" s="763" t="s">
        <v>2671</v>
      </c>
      <c r="B69" s="759"/>
      <c r="C69" s="764"/>
      <c r="D69" s="764"/>
      <c r="E69" s="764"/>
      <c r="F69" s="765"/>
      <c r="G69" s="765"/>
      <c r="H69" s="764"/>
      <c r="I69" s="764"/>
      <c r="J69" s="1159"/>
      <c r="K69" s="1160"/>
      <c r="L69" s="1161"/>
      <c r="M69" s="1159"/>
      <c r="N69" s="1159"/>
      <c r="O69" s="1159"/>
      <c r="P69" s="503"/>
      <c r="Q69" s="504"/>
    </row>
    <row r="70" spans="1:17" s="508" customFormat="1" ht="15">
      <c r="A70" s="2710" t="s">
        <v>2779</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1" t="s">
        <v>2780</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2582</v>
      </c>
      <c r="B72" s="516"/>
      <c r="C72" s="517"/>
      <c r="D72" s="518"/>
      <c r="E72" s="518"/>
      <c r="F72" s="518"/>
      <c r="G72" s="518"/>
      <c r="H72" s="518"/>
      <c r="I72" s="518"/>
      <c r="J72" s="518"/>
      <c r="K72" s="518"/>
      <c r="L72" s="518"/>
      <c r="M72" s="519"/>
      <c r="N72" s="518"/>
      <c r="O72" s="1162"/>
      <c r="P72" s="504"/>
      <c r="Q72" s="504"/>
    </row>
    <row r="73" spans="1:17" s="117" customFormat="1" ht="15">
      <c r="A73" s="521" t="s">
        <v>2547</v>
      </c>
      <c r="B73" s="510"/>
      <c r="C73" s="522" t="s">
        <v>2649</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2554</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2688</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3" t="s">
        <v>2643</v>
      </c>
      <c r="D4" s="3224"/>
      <c r="E4" s="3225" t="s">
        <v>2644</v>
      </c>
      <c r="F4" s="3226"/>
      <c r="G4" s="3223" t="s">
        <v>2645</v>
      </c>
      <c r="H4" s="3224"/>
      <c r="I4" s="3223" t="s">
        <v>2646</v>
      </c>
      <c r="J4" s="3224"/>
      <c r="K4" s="610" t="s">
        <v>2647</v>
      </c>
      <c r="L4" s="1130"/>
      <c r="M4" s="1131"/>
      <c r="N4" s="1131"/>
      <c r="O4" s="1131"/>
      <c r="P4" s="3227" t="s">
        <v>2648</v>
      </c>
      <c r="Q4" s="3228"/>
      <c r="R4" s="3233" t="s">
        <v>2644</v>
      </c>
      <c r="S4" s="3234"/>
      <c r="T4" s="3233" t="s">
        <v>2645</v>
      </c>
      <c r="U4" s="3234"/>
      <c r="V4" s="3239" t="s">
        <v>2646</v>
      </c>
      <c r="W4" s="3239"/>
      <c r="X4" s="1813"/>
      <c r="Y4" s="3233" t="s">
        <v>2648</v>
      </c>
      <c r="Z4" s="3234"/>
      <c r="AA4" s="3220" t="s">
        <v>2644</v>
      </c>
      <c r="AB4" s="3221" t="s">
        <v>2645</v>
      </c>
      <c r="AC4" s="3220" t="s">
        <v>2646</v>
      </c>
    </row>
    <row r="5" spans="1:29" ht="15">
      <c r="A5" s="404"/>
      <c r="B5" s="405"/>
      <c r="C5" s="3242" t="s">
        <v>2539</v>
      </c>
      <c r="D5" s="3243"/>
      <c r="E5" s="3249" t="s">
        <v>2540</v>
      </c>
      <c r="F5" s="3250"/>
      <c r="G5" s="3242" t="s">
        <v>2541</v>
      </c>
      <c r="H5" s="3243"/>
      <c r="I5" s="3242" t="s">
        <v>2542</v>
      </c>
      <c r="J5" s="3243"/>
      <c r="K5" s="610"/>
      <c r="L5" s="1130"/>
      <c r="M5" s="1131"/>
      <c r="N5" s="1131"/>
      <c r="O5" s="1131"/>
      <c r="P5" s="3229"/>
      <c r="Q5" s="3230"/>
      <c r="R5" s="3235"/>
      <c r="S5" s="3236"/>
      <c r="T5" s="3235"/>
      <c r="U5" s="3236"/>
      <c r="V5" s="3239"/>
      <c r="W5" s="3239"/>
      <c r="X5" s="1813"/>
      <c r="Y5" s="3235"/>
      <c r="Z5" s="3236"/>
      <c r="AA5" s="3221"/>
      <c r="AB5" s="3221"/>
      <c r="AC5" s="3221"/>
    </row>
    <row r="6" spans="1:29" ht="15.75" thickBot="1">
      <c r="A6" s="406"/>
      <c r="B6" s="407"/>
      <c r="C6" s="3273" t="s">
        <v>2794</v>
      </c>
      <c r="D6" s="3274"/>
      <c r="E6" s="3275" t="s">
        <v>2794</v>
      </c>
      <c r="F6" s="3276"/>
      <c r="G6" s="3273" t="s">
        <v>2794</v>
      </c>
      <c r="H6" s="3274"/>
      <c r="I6" s="3273" t="s">
        <v>2794</v>
      </c>
      <c r="J6" s="3274"/>
      <c r="K6" s="610" t="s">
        <v>2544</v>
      </c>
      <c r="L6" s="1130"/>
      <c r="M6" s="1131"/>
      <c r="N6" s="1131"/>
      <c r="O6" s="1131"/>
      <c r="P6" s="3231"/>
      <c r="Q6" s="3232"/>
      <c r="R6" s="3235"/>
      <c r="S6" s="3236"/>
      <c r="T6" s="3237"/>
      <c r="U6" s="3238"/>
      <c r="V6" s="3239"/>
      <c r="W6" s="3239"/>
      <c r="X6" s="1813"/>
      <c r="Y6" s="3237"/>
      <c r="Z6" s="3238"/>
      <c r="AA6" s="3222"/>
      <c r="AB6" s="3222"/>
      <c r="AC6" s="3222"/>
    </row>
    <row r="7" spans="1:29" s="117" customFormat="1" ht="15.75" thickBot="1">
      <c r="A7" s="408" t="s">
        <v>2545</v>
      </c>
      <c r="B7" s="409"/>
      <c r="C7" s="410">
        <f>'数据-取费表'!B2</f>
        <v>43774</v>
      </c>
      <c r="D7" s="411">
        <v>100</v>
      </c>
      <c r="E7" s="412"/>
      <c r="F7" s="413">
        <f>SUMIF(65:65,YEAR(E7)&amp;"-"&amp;INT((MONTH(E7)+2)/3),66:66)</f>
        <v>0</v>
      </c>
      <c r="G7" s="2695"/>
      <c r="H7" s="411">
        <f>SUMIF(65:65,YEAR(G7)&amp;"-"&amp;INT((MONTH(G7)+2)/3),66:66)</f>
        <v>0</v>
      </c>
      <c r="I7" s="2695"/>
      <c r="J7" s="411">
        <f>SUMIF(65:65,YEAR(I7)&amp;"-"&amp;INT((MONTH(I7)+2)/3),66:66)</f>
        <v>0</v>
      </c>
      <c r="K7" s="611"/>
      <c r="L7" s="1132"/>
      <c r="M7" s="1133"/>
      <c r="N7" s="1133"/>
      <c r="O7" s="1133"/>
      <c r="P7" s="3244" t="s">
        <v>2546</v>
      </c>
      <c r="Q7" s="3246"/>
      <c r="R7" s="770" t="s">
        <v>17</v>
      </c>
      <c r="S7" s="771">
        <f t="shared" ref="S7:S15" si="0">F7</f>
        <v>0</v>
      </c>
      <c r="T7" s="770" t="s">
        <v>17</v>
      </c>
      <c r="U7" s="771">
        <f t="shared" ref="U7:U15" si="1">H7</f>
        <v>0</v>
      </c>
      <c r="V7" s="770" t="s">
        <v>17</v>
      </c>
      <c r="W7" s="771">
        <f t="shared" ref="W7:W15" si="2">J7</f>
        <v>0</v>
      </c>
      <c r="X7" s="772"/>
      <c r="Y7" s="3244" t="s">
        <v>2546</v>
      </c>
      <c r="Z7" s="3245"/>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44" t="s">
        <v>2549</v>
      </c>
      <c r="Q8" s="3245"/>
      <c r="R8" s="770" t="s">
        <v>17</v>
      </c>
      <c r="S8" s="771">
        <f t="shared" si="0"/>
        <v>0</v>
      </c>
      <c r="T8" s="770" t="s">
        <v>17</v>
      </c>
      <c r="U8" s="771">
        <f t="shared" si="1"/>
        <v>0</v>
      </c>
      <c r="V8" s="770" t="s">
        <v>17</v>
      </c>
      <c r="W8" s="771">
        <f t="shared" si="2"/>
        <v>0</v>
      </c>
      <c r="X8" s="772"/>
      <c r="Y8" s="3244" t="s">
        <v>2549</v>
      </c>
      <c r="Z8" s="3245"/>
      <c r="AA8" s="773" t="e">
        <f t="shared" ref="AA8:AA40" si="3">D8/F8</f>
        <v>#DIV/0!</v>
      </c>
      <c r="AB8" s="773" t="e">
        <f t="shared" ref="AB8:AB40" si="4">D8/H8</f>
        <v>#DIV/0!</v>
      </c>
      <c r="AC8" s="773" t="e">
        <f t="shared" ref="AC8:AC40" si="5">D8/J8</f>
        <v>#DIV/0!</v>
      </c>
    </row>
    <row r="9" spans="1:29" s="117" customFormat="1">
      <c r="A9" s="415" t="s">
        <v>2550</v>
      </c>
      <c r="B9" s="71" t="s">
        <v>2551</v>
      </c>
      <c r="C9" s="2698"/>
      <c r="D9" s="135">
        <v>100</v>
      </c>
      <c r="E9" s="2698"/>
      <c r="F9" s="135">
        <f>SUMIF(70:70,E9,71:71)-SUMIF(70:70,C9,71:71)+100</f>
        <v>100</v>
      </c>
      <c r="G9" s="2698"/>
      <c r="H9" s="135">
        <f>SUMIF(70:70,G9,71:71)-SUMIF(70:70,C9,71:71)+100</f>
        <v>100</v>
      </c>
      <c r="I9" s="2698"/>
      <c r="J9" s="135">
        <f>SUMIF(70:70,I9,71:71)-SUMIF(70:70,C9,71:71)+100</f>
        <v>100</v>
      </c>
      <c r="K9" s="611"/>
      <c r="L9" s="1132"/>
      <c r="M9" s="1133"/>
      <c r="N9" s="1133"/>
      <c r="O9" s="1134"/>
      <c r="P9" s="3208" t="s">
        <v>2552</v>
      </c>
      <c r="Q9" s="1795" t="str">
        <f t="shared" ref="Q9:Q15" si="6">B9</f>
        <v>用途</v>
      </c>
      <c r="R9" s="770" t="s">
        <v>17</v>
      </c>
      <c r="S9" s="771">
        <f t="shared" si="0"/>
        <v>100</v>
      </c>
      <c r="T9" s="770" t="s">
        <v>17</v>
      </c>
      <c r="U9" s="771">
        <f t="shared" si="1"/>
        <v>100</v>
      </c>
      <c r="V9" s="770" t="s">
        <v>17</v>
      </c>
      <c r="W9" s="771">
        <f t="shared" si="2"/>
        <v>100</v>
      </c>
      <c r="X9" s="772"/>
      <c r="Y9" s="3010"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 ca="1">ROUND(100/'数据-取费表'!G16,0)</f>
        <v>115</v>
      </c>
      <c r="G10" s="432"/>
      <c r="H10" s="136">
        <f ca="1">ROUND(100/'数据-取费表'!G16,0)</f>
        <v>115</v>
      </c>
      <c r="I10" s="432"/>
      <c r="J10" s="136">
        <f ca="1">ROUND(100/'数据-取费表'!G16,0)</f>
        <v>115</v>
      </c>
      <c r="K10" s="672"/>
      <c r="L10" s="1135"/>
      <c r="M10" s="1136"/>
      <c r="N10" s="1136"/>
      <c r="O10" s="1137"/>
      <c r="P10" s="3208"/>
      <c r="Q10" s="1795" t="str">
        <f t="shared" si="6"/>
        <v>土地使用年限（年）</v>
      </c>
      <c r="R10" s="770" t="s">
        <v>17</v>
      </c>
      <c r="S10" s="771">
        <f t="shared" ca="1" si="0"/>
        <v>115</v>
      </c>
      <c r="T10" s="770" t="s">
        <v>17</v>
      </c>
      <c r="U10" s="771">
        <f t="shared" ca="1" si="1"/>
        <v>115</v>
      </c>
      <c r="V10" s="770" t="s">
        <v>17</v>
      </c>
      <c r="W10" s="771">
        <f t="shared" ca="1" si="2"/>
        <v>115</v>
      </c>
      <c r="X10" s="772"/>
      <c r="Y10" s="3010"/>
      <c r="Z10" s="55" t="str">
        <f t="shared" si="7"/>
        <v>土地使用年限（年）</v>
      </c>
      <c r="AA10" s="773">
        <f t="shared" ca="1" si="3"/>
        <v>0.86956521739130432</v>
      </c>
      <c r="AB10" s="773">
        <f t="shared" ca="1" si="4"/>
        <v>0.86956521739130432</v>
      </c>
      <c r="AC10" s="773">
        <f t="shared" ca="1" si="5"/>
        <v>0.86956521739130432</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8"/>
      <c r="Q11" s="1795"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8"/>
      <c r="Q12" s="1795">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8"/>
      <c r="Q13" s="1795">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8"/>
      <c r="Q14" s="1795">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57">
      <c r="A15" s="440" t="s">
        <v>2556</v>
      </c>
      <c r="B15" s="629" t="s">
        <v>2795</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0" t="s">
        <v>2557</v>
      </c>
      <c r="Q15" s="1810" t="str">
        <f t="shared" si="6"/>
        <v>产业集聚程度</v>
      </c>
      <c r="R15" s="774" t="s">
        <v>17</v>
      </c>
      <c r="S15" s="775">
        <f t="shared" si="0"/>
        <v>100</v>
      </c>
      <c r="T15" s="774" t="s">
        <v>17</v>
      </c>
      <c r="U15" s="775">
        <f t="shared" si="1"/>
        <v>100</v>
      </c>
      <c r="V15" s="774" t="s">
        <v>17</v>
      </c>
      <c r="W15" s="775">
        <f t="shared" si="2"/>
        <v>100</v>
      </c>
      <c r="X15" s="1813"/>
      <c r="Y15" s="3210" t="s">
        <v>2557</v>
      </c>
      <c r="Z15" s="1814" t="str">
        <f t="shared" si="7"/>
        <v>产业集聚程度</v>
      </c>
      <c r="AA15" s="1811">
        <f t="shared" si="3"/>
        <v>1</v>
      </c>
      <c r="AB15" s="1811">
        <f t="shared" si="4"/>
        <v>1</v>
      </c>
      <c r="AC15" s="1811">
        <f t="shared" si="5"/>
        <v>1</v>
      </c>
    </row>
    <row r="16" spans="1:29" ht="15">
      <c r="A16" s="428"/>
      <c r="B16" s="630"/>
      <c r="C16" s="447"/>
      <c r="D16" s="448"/>
      <c r="E16" s="2610"/>
      <c r="F16" s="448"/>
      <c r="G16" s="2610"/>
      <c r="H16" s="450"/>
      <c r="I16" s="2610"/>
      <c r="J16" s="448"/>
      <c r="K16" s="672"/>
      <c r="L16" s="1140"/>
      <c r="M16" s="1131"/>
      <c r="N16" s="1131"/>
      <c r="O16" s="1139"/>
      <c r="P16" s="3211"/>
      <c r="Q16" s="1810"/>
      <c r="R16" s="774"/>
      <c r="S16" s="775"/>
      <c r="T16" s="774"/>
      <c r="U16" s="775"/>
      <c r="V16" s="774"/>
      <c r="W16" s="775"/>
      <c r="X16" s="1813"/>
      <c r="Y16" s="3211"/>
      <c r="Z16" s="1814"/>
      <c r="AA16" s="1811">
        <v>1</v>
      </c>
      <c r="AB16" s="1811">
        <v>1</v>
      </c>
      <c r="AC16" s="1811">
        <v>1</v>
      </c>
    </row>
    <row r="17" spans="1:29" ht="85.5">
      <c r="A17" s="428"/>
      <c r="B17" s="631" t="s">
        <v>2706</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1"/>
      <c r="Q17" s="1810" t="str">
        <f>B17</f>
        <v>交通便捷度</v>
      </c>
      <c r="R17" s="774" t="s">
        <v>17</v>
      </c>
      <c r="S17" s="775">
        <f>F17</f>
        <v>100</v>
      </c>
      <c r="T17" s="774" t="s">
        <v>17</v>
      </c>
      <c r="U17" s="775">
        <f>H17</f>
        <v>100</v>
      </c>
      <c r="V17" s="774" t="s">
        <v>17</v>
      </c>
      <c r="W17" s="775">
        <f>J17</f>
        <v>100</v>
      </c>
      <c r="X17" s="1813"/>
      <c r="Y17" s="3211"/>
      <c r="Z17" s="1814" t="str">
        <f>Q17</f>
        <v>交通便捷度</v>
      </c>
      <c r="AA17" s="1811">
        <f t="shared" si="3"/>
        <v>1</v>
      </c>
      <c r="AB17" s="1811">
        <f t="shared" si="4"/>
        <v>1</v>
      </c>
      <c r="AC17" s="1811">
        <f t="shared" si="5"/>
        <v>1</v>
      </c>
    </row>
    <row r="18" spans="1:29" ht="15">
      <c r="A18" s="428"/>
      <c r="B18" s="632"/>
      <c r="C18" s="447"/>
      <c r="D18" s="448"/>
      <c r="E18" s="2604"/>
      <c r="F18" s="448"/>
      <c r="G18" s="2604"/>
      <c r="H18" s="448"/>
      <c r="I18" s="2603"/>
      <c r="J18" s="448"/>
      <c r="K18" s="672"/>
      <c r="L18" s="1140"/>
      <c r="M18" s="1131"/>
      <c r="N18" s="1131"/>
      <c r="O18" s="1139"/>
      <c r="P18" s="3211"/>
      <c r="Q18" s="1810"/>
      <c r="R18" s="774"/>
      <c r="S18" s="775"/>
      <c r="T18" s="774"/>
      <c r="U18" s="775"/>
      <c r="V18" s="774"/>
      <c r="W18" s="775"/>
      <c r="X18" s="1813"/>
      <c r="Y18" s="3211"/>
      <c r="Z18" s="1814"/>
      <c r="AA18" s="1811">
        <v>1</v>
      </c>
      <c r="AB18" s="1811">
        <v>1</v>
      </c>
      <c r="AC18" s="1811">
        <v>1</v>
      </c>
    </row>
    <row r="19" spans="1:29" ht="15">
      <c r="A19" s="428"/>
      <c r="B19" s="631" t="s">
        <v>2745</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1"/>
      <c r="Q19" s="1810" t="str">
        <f t="shared" ref="Q19:Q33" si="8">B19</f>
        <v>区域土地利用方向</v>
      </c>
      <c r="R19" s="774" t="s">
        <v>17</v>
      </c>
      <c r="S19" s="775">
        <f>F19</f>
        <v>100</v>
      </c>
      <c r="T19" s="774" t="s">
        <v>17</v>
      </c>
      <c r="U19" s="775">
        <f>H19</f>
        <v>100</v>
      </c>
      <c r="V19" s="774" t="s">
        <v>17</v>
      </c>
      <c r="W19" s="775">
        <f>J19</f>
        <v>100</v>
      </c>
      <c r="X19" s="1813"/>
      <c r="Y19" s="3211"/>
      <c r="Z19" s="1814" t="str">
        <f>Q19</f>
        <v>区域土地利用方向</v>
      </c>
      <c r="AA19" s="1811">
        <f t="shared" si="3"/>
        <v>1</v>
      </c>
      <c r="AB19" s="1811">
        <f t="shared" si="4"/>
        <v>1</v>
      </c>
      <c r="AC19" s="1811">
        <f t="shared" si="5"/>
        <v>1</v>
      </c>
    </row>
    <row r="20" spans="1:29" ht="15">
      <c r="A20" s="404"/>
      <c r="B20" s="632"/>
      <c r="C20" s="447"/>
      <c r="D20" s="448"/>
      <c r="E20" s="2604"/>
      <c r="F20" s="448"/>
      <c r="G20" s="2604"/>
      <c r="H20" s="448"/>
      <c r="I20" s="2604"/>
      <c r="J20" s="448"/>
      <c r="K20" s="812"/>
      <c r="L20" s="1140"/>
      <c r="M20" s="1131"/>
      <c r="N20" s="1131"/>
      <c r="O20" s="1139"/>
      <c r="P20" s="3211"/>
      <c r="Q20" s="1810"/>
      <c r="R20" s="774"/>
      <c r="S20" s="775"/>
      <c r="T20" s="774"/>
      <c r="U20" s="775"/>
      <c r="V20" s="774"/>
      <c r="W20" s="775"/>
      <c r="X20" s="1813"/>
      <c r="Y20" s="3211"/>
      <c r="Z20" s="1814"/>
      <c r="AA20" s="1811"/>
      <c r="AB20" s="1811"/>
      <c r="AC20" s="1811"/>
    </row>
    <row r="21" spans="1:29" ht="71.25">
      <c r="A21" s="404"/>
      <c r="B21" s="631" t="s">
        <v>2796</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1"/>
      <c r="Q21" s="1810" t="str">
        <f t="shared" si="8"/>
        <v>环境状况</v>
      </c>
      <c r="R21" s="774" t="s">
        <v>17</v>
      </c>
      <c r="S21" s="775">
        <f>F21</f>
        <v>100</v>
      </c>
      <c r="T21" s="774" t="s">
        <v>17</v>
      </c>
      <c r="U21" s="775">
        <f>H21</f>
        <v>100</v>
      </c>
      <c r="V21" s="774" t="s">
        <v>17</v>
      </c>
      <c r="W21" s="775">
        <f>J21</f>
        <v>100</v>
      </c>
      <c r="X21" s="1813"/>
      <c r="Y21" s="3211"/>
      <c r="Z21" s="1814" t="str">
        <f>Q21</f>
        <v>环境状况</v>
      </c>
      <c r="AA21" s="1811">
        <f t="shared" si="3"/>
        <v>1</v>
      </c>
      <c r="AB21" s="1811">
        <f t="shared" si="4"/>
        <v>1</v>
      </c>
      <c r="AC21" s="1811">
        <f t="shared" si="5"/>
        <v>1</v>
      </c>
    </row>
    <row r="22" spans="1:29" ht="15">
      <c r="A22" s="404"/>
      <c r="B22" s="632"/>
      <c r="C22" s="447"/>
      <c r="D22" s="448"/>
      <c r="E22" s="2610"/>
      <c r="F22" s="448"/>
      <c r="G22" s="2610"/>
      <c r="H22" s="448"/>
      <c r="I22" s="447"/>
      <c r="J22" s="448"/>
      <c r="K22" s="672"/>
      <c r="L22" s="1140"/>
      <c r="M22" s="1131"/>
      <c r="N22" s="1131"/>
      <c r="O22" s="1139"/>
      <c r="P22" s="3211"/>
      <c r="Q22" s="1810"/>
      <c r="R22" s="774"/>
      <c r="S22" s="775"/>
      <c r="T22" s="774"/>
      <c r="U22" s="775"/>
      <c r="V22" s="774"/>
      <c r="W22" s="775"/>
      <c r="X22" s="1813"/>
      <c r="Y22" s="3211"/>
      <c r="Z22" s="1814"/>
      <c r="AA22" s="1811">
        <v>1</v>
      </c>
      <c r="AB22" s="1811">
        <v>1</v>
      </c>
      <c r="AC22" s="1811">
        <v>1</v>
      </c>
    </row>
    <row r="23" spans="1:29" s="117" customFormat="1" ht="42.75">
      <c r="A23" s="649"/>
      <c r="B23" s="633" t="s">
        <v>2651</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1"/>
      <c r="Q23" s="1795" t="str">
        <f t="shared" si="8"/>
        <v>公共配套设施</v>
      </c>
      <c r="R23" s="770" t="s">
        <v>17</v>
      </c>
      <c r="S23" s="771">
        <f>F23</f>
        <v>100</v>
      </c>
      <c r="T23" s="770" t="s">
        <v>17</v>
      </c>
      <c r="U23" s="771">
        <f>H23</f>
        <v>100</v>
      </c>
      <c r="V23" s="770" t="s">
        <v>17</v>
      </c>
      <c r="W23" s="771">
        <f>J23</f>
        <v>100</v>
      </c>
      <c r="X23" s="772"/>
      <c r="Y23" s="3211"/>
      <c r="Z23" s="55" t="str">
        <f>Q23</f>
        <v>公共配套设施</v>
      </c>
      <c r="AA23" s="1811">
        <f>D23/F23</f>
        <v>1</v>
      </c>
      <c r="AB23" s="1811">
        <f>D23/H23</f>
        <v>1</v>
      </c>
      <c r="AC23" s="1811">
        <f>D23/J23</f>
        <v>1</v>
      </c>
    </row>
    <row r="24" spans="1:29" s="117" customFormat="1" ht="15">
      <c r="A24" s="649"/>
      <c r="B24" s="632"/>
      <c r="C24" s="2699"/>
      <c r="D24" s="448"/>
      <c r="E24" s="2610"/>
      <c r="F24" s="448"/>
      <c r="G24" s="2610"/>
      <c r="H24" s="448"/>
      <c r="I24" s="447"/>
      <c r="J24" s="448"/>
      <c r="K24" s="672"/>
      <c r="L24" s="1132"/>
      <c r="M24" s="1133"/>
      <c r="N24" s="1133"/>
      <c r="O24" s="1134"/>
      <c r="P24" s="3211"/>
      <c r="Q24" s="1795"/>
      <c r="R24" s="770"/>
      <c r="S24" s="771"/>
      <c r="T24" s="770"/>
      <c r="U24" s="771"/>
      <c r="V24" s="770"/>
      <c r="W24" s="771"/>
      <c r="X24" s="772"/>
      <c r="Y24" s="3211"/>
      <c r="Z24" s="55"/>
      <c r="AA24" s="773">
        <v>1</v>
      </c>
      <c r="AB24" s="773">
        <v>1</v>
      </c>
      <c r="AC24" s="773">
        <v>1</v>
      </c>
    </row>
    <row r="25" spans="1:29" s="117" customFormat="1" ht="28.5">
      <c r="A25" s="649"/>
      <c r="B25" s="633" t="s">
        <v>2652</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1"/>
      <c r="Q25" s="1795" t="str">
        <f t="shared" ref="Q25" si="9">B25</f>
        <v>基础设施水平</v>
      </c>
      <c r="R25" s="770" t="s">
        <v>17</v>
      </c>
      <c r="S25" s="771">
        <f>F25</f>
        <v>100</v>
      </c>
      <c r="T25" s="770" t="s">
        <v>17</v>
      </c>
      <c r="U25" s="771">
        <f>H25</f>
        <v>100</v>
      </c>
      <c r="V25" s="770" t="s">
        <v>17</v>
      </c>
      <c r="W25" s="771">
        <f>J25</f>
        <v>100</v>
      </c>
      <c r="X25" s="772"/>
      <c r="Y25" s="3211"/>
      <c r="Z25" s="55" t="str">
        <f>Q25</f>
        <v>基础设施水平</v>
      </c>
      <c r="AA25" s="1811">
        <f>D25/F25</f>
        <v>1</v>
      </c>
      <c r="AB25" s="1811">
        <f>D25/H25</f>
        <v>1</v>
      </c>
      <c r="AC25" s="1811">
        <f>D25/J25</f>
        <v>1</v>
      </c>
    </row>
    <row r="26" spans="1:29" s="117" customFormat="1" ht="15">
      <c r="A26" s="649"/>
      <c r="B26" s="632"/>
      <c r="C26" s="2699"/>
      <c r="D26" s="448"/>
      <c r="E26" s="2700"/>
      <c r="F26" s="448"/>
      <c r="G26" s="2700"/>
      <c r="H26" s="448"/>
      <c r="I26" s="2700"/>
      <c r="J26" s="448"/>
      <c r="K26" s="672"/>
      <c r="L26" s="1132"/>
      <c r="M26" s="1133"/>
      <c r="N26" s="1133"/>
      <c r="O26" s="1134"/>
      <c r="P26" s="3211"/>
      <c r="Q26" s="1795"/>
      <c r="R26" s="770"/>
      <c r="S26" s="771"/>
      <c r="T26" s="770"/>
      <c r="U26" s="771"/>
      <c r="V26" s="770"/>
      <c r="W26" s="771"/>
      <c r="X26" s="772"/>
      <c r="Y26" s="3211"/>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1"/>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11"/>
      <c r="Z27" s="1814" t="str">
        <f t="shared" ref="Z27:Z40" si="13">Q27</f>
        <v>临街状况</v>
      </c>
      <c r="AA27" s="1811">
        <f t="shared" si="3"/>
        <v>1</v>
      </c>
      <c r="AB27" s="1811">
        <f t="shared" si="4"/>
        <v>1</v>
      </c>
      <c r="AC27" s="1811">
        <f t="shared" si="5"/>
        <v>1</v>
      </c>
    </row>
    <row r="28" spans="1:29" ht="27">
      <c r="A28" s="428"/>
      <c r="B28" s="633" t="s">
        <v>2688</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1"/>
      <c r="Q28" s="1810" t="str">
        <f t="shared" si="8"/>
        <v>毗邻道路的类型与等级</v>
      </c>
      <c r="R28" s="774" t="s">
        <v>17</v>
      </c>
      <c r="S28" s="775">
        <f t="shared" si="10"/>
        <v>100</v>
      </c>
      <c r="T28" s="774" t="s">
        <v>17</v>
      </c>
      <c r="U28" s="775">
        <f t="shared" si="11"/>
        <v>100</v>
      </c>
      <c r="V28" s="774" t="s">
        <v>17</v>
      </c>
      <c r="W28" s="775">
        <f t="shared" si="12"/>
        <v>100</v>
      </c>
      <c r="X28" s="1813"/>
      <c r="Y28" s="3211"/>
      <c r="Z28" s="1814" t="str">
        <f t="shared" si="13"/>
        <v>毗邻道路的类型与等级</v>
      </c>
      <c r="AA28" s="1811">
        <f t="shared" si="3"/>
        <v>1</v>
      </c>
      <c r="AB28" s="1811">
        <f t="shared" si="4"/>
        <v>1</v>
      </c>
      <c r="AC28" s="1811">
        <f t="shared" si="5"/>
        <v>1</v>
      </c>
    </row>
    <row r="29" spans="1:29" ht="15">
      <c r="A29" s="428"/>
      <c r="B29" s="632"/>
      <c r="C29" s="447"/>
      <c r="D29" s="448"/>
      <c r="E29" s="2610"/>
      <c r="F29" s="448"/>
      <c r="G29" s="2610"/>
      <c r="H29" s="448"/>
      <c r="I29" s="2610"/>
      <c r="J29" s="448"/>
      <c r="K29" s="613"/>
      <c r="L29" s="1140"/>
      <c r="M29" s="1131"/>
      <c r="N29" s="1131"/>
      <c r="O29" s="1139"/>
      <c r="P29" s="3211"/>
      <c r="Q29" s="1810"/>
      <c r="R29" s="774"/>
      <c r="S29" s="775"/>
      <c r="T29" s="774"/>
      <c r="U29" s="775"/>
      <c r="V29" s="774"/>
      <c r="W29" s="775"/>
      <c r="X29" s="1813"/>
      <c r="Y29" s="3211"/>
      <c r="Z29" s="1814"/>
      <c r="AA29" s="1811">
        <v>1</v>
      </c>
      <c r="AB29" s="1811">
        <v>1</v>
      </c>
      <c r="AC29" s="1811">
        <v>1</v>
      </c>
    </row>
    <row r="30" spans="1:29" ht="1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1"/>
      <c r="Q30" s="1810" t="str">
        <f t="shared" si="8"/>
        <v>土地级别</v>
      </c>
      <c r="R30" s="774" t="s">
        <v>17</v>
      </c>
      <c r="S30" s="775">
        <f t="shared" si="10"/>
        <v>100</v>
      </c>
      <c r="T30" s="774" t="s">
        <v>17</v>
      </c>
      <c r="U30" s="775">
        <f t="shared" si="11"/>
        <v>100</v>
      </c>
      <c r="V30" s="774" t="s">
        <v>17</v>
      </c>
      <c r="W30" s="775">
        <f t="shared" si="12"/>
        <v>100</v>
      </c>
      <c r="X30" s="1813"/>
      <c r="Y30" s="3211"/>
      <c r="Z30" s="1814" t="str">
        <f t="shared" si="13"/>
        <v>土地级别</v>
      </c>
      <c r="AA30" s="1811">
        <f t="shared" si="3"/>
        <v>1</v>
      </c>
      <c r="AB30" s="1811">
        <f t="shared" si="4"/>
        <v>1</v>
      </c>
      <c r="AC30" s="1811">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1"/>
      <c r="Q31" s="1810">
        <f t="shared" si="8"/>
        <v>111</v>
      </c>
      <c r="R31" s="774" t="s">
        <v>17</v>
      </c>
      <c r="S31" s="775">
        <f t="shared" si="10"/>
        <v>100</v>
      </c>
      <c r="T31" s="774" t="s">
        <v>17</v>
      </c>
      <c r="U31" s="775">
        <f t="shared" si="11"/>
        <v>100</v>
      </c>
      <c r="V31" s="774" t="s">
        <v>17</v>
      </c>
      <c r="W31" s="775">
        <f t="shared" si="12"/>
        <v>100</v>
      </c>
      <c r="X31" s="1813"/>
      <c r="Y31" s="3211"/>
      <c r="Z31" s="1814">
        <f t="shared" si="13"/>
        <v>111</v>
      </c>
      <c r="AA31" s="1811">
        <f t="shared" si="3"/>
        <v>1</v>
      </c>
      <c r="AB31" s="1811">
        <f t="shared" si="4"/>
        <v>1</v>
      </c>
      <c r="AC31" s="1811">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8" t="s">
        <v>2562</v>
      </c>
      <c r="Q32" s="1810">
        <f t="shared" si="8"/>
        <v>111</v>
      </c>
      <c r="R32" s="774" t="s">
        <v>17</v>
      </c>
      <c r="S32" s="775">
        <f t="shared" si="10"/>
        <v>100</v>
      </c>
      <c r="T32" s="774" t="s">
        <v>17</v>
      </c>
      <c r="U32" s="775">
        <f t="shared" si="11"/>
        <v>100</v>
      </c>
      <c r="V32" s="774" t="s">
        <v>17</v>
      </c>
      <c r="W32" s="775">
        <f t="shared" si="12"/>
        <v>100</v>
      </c>
      <c r="X32" s="1813"/>
      <c r="Y32" s="3215" t="s">
        <v>2562</v>
      </c>
      <c r="Z32" s="1814">
        <f t="shared" si="13"/>
        <v>111</v>
      </c>
      <c r="AA32" s="1811">
        <f t="shared" si="3"/>
        <v>1</v>
      </c>
      <c r="AB32" s="1811">
        <f t="shared" si="4"/>
        <v>1</v>
      </c>
      <c r="AC32" s="1811">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5"/>
      <c r="Q33" s="1810">
        <f t="shared" si="8"/>
        <v>111</v>
      </c>
      <c r="R33" s="777" t="s">
        <v>17</v>
      </c>
      <c r="S33" s="778">
        <f t="shared" si="10"/>
        <v>100</v>
      </c>
      <c r="T33" s="777" t="s">
        <v>17</v>
      </c>
      <c r="U33" s="778">
        <f t="shared" si="11"/>
        <v>100</v>
      </c>
      <c r="V33" s="777" t="s">
        <v>17</v>
      </c>
      <c r="W33" s="778">
        <f t="shared" si="12"/>
        <v>100</v>
      </c>
      <c r="X33" s="779"/>
      <c r="Y33" s="3215"/>
      <c r="Z33" s="780">
        <f t="shared" si="13"/>
        <v>111</v>
      </c>
      <c r="AA33" s="1811">
        <f t="shared" si="3"/>
        <v>1</v>
      </c>
      <c r="AB33" s="1811">
        <f t="shared" si="4"/>
        <v>1</v>
      </c>
      <c r="AC33" s="1811">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5"/>
      <c r="Q34" s="1810" t="str">
        <f>B34</f>
        <v>宗地面积</v>
      </c>
      <c r="R34" s="774" t="s">
        <v>17</v>
      </c>
      <c r="S34" s="775" t="e">
        <f t="shared" si="10"/>
        <v>#N/A</v>
      </c>
      <c r="T34" s="774" t="s">
        <v>17</v>
      </c>
      <c r="U34" s="775" t="e">
        <f t="shared" si="11"/>
        <v>#N/A</v>
      </c>
      <c r="V34" s="774" t="s">
        <v>17</v>
      </c>
      <c r="W34" s="775" t="e">
        <f t="shared" si="12"/>
        <v>#N/A</v>
      </c>
      <c r="X34" s="1813"/>
      <c r="Y34" s="3215"/>
      <c r="Z34" s="1814" t="str">
        <f t="shared" si="13"/>
        <v>宗地面积</v>
      </c>
      <c r="AA34" s="1811" t="e">
        <f t="shared" si="3"/>
        <v>#N/A</v>
      </c>
      <c r="AB34" s="1811" t="e">
        <f t="shared" si="4"/>
        <v>#N/A</v>
      </c>
      <c r="AC34" s="1811" t="e">
        <f t="shared" si="5"/>
        <v>#N/A</v>
      </c>
    </row>
    <row r="35" spans="1:29" ht="15">
      <c r="A35" s="472"/>
      <c r="B35" s="422" t="s">
        <v>2749</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0"/>
      <c r="M35" s="1131"/>
      <c r="N35" s="1131"/>
      <c r="O35" s="1139"/>
      <c r="P35" s="3215"/>
      <c r="Q35" s="1810" t="str">
        <f t="shared" ref="Q35:Q40" si="14">B35</f>
        <v>宗地形状</v>
      </c>
      <c r="R35" s="774" t="s">
        <v>17</v>
      </c>
      <c r="S35" s="775">
        <f t="shared" si="10"/>
        <v>100</v>
      </c>
      <c r="T35" s="774" t="s">
        <v>17</v>
      </c>
      <c r="U35" s="775">
        <f t="shared" si="11"/>
        <v>100</v>
      </c>
      <c r="V35" s="774" t="s">
        <v>17</v>
      </c>
      <c r="W35" s="775">
        <f t="shared" si="12"/>
        <v>100</v>
      </c>
      <c r="X35" s="1813"/>
      <c r="Y35" s="3215"/>
      <c r="Z35" s="1814" t="str">
        <f t="shared" si="13"/>
        <v>宗地形状</v>
      </c>
      <c r="AA35" s="1811">
        <f t="shared" si="3"/>
        <v>1</v>
      </c>
      <c r="AB35" s="1811">
        <f t="shared" si="4"/>
        <v>1</v>
      </c>
      <c r="AC35" s="1811">
        <f t="shared" si="5"/>
        <v>1</v>
      </c>
    </row>
    <row r="36" spans="1:29" s="117" customFormat="1" ht="15">
      <c r="A36" s="473"/>
      <c r="B36" s="422" t="s">
        <v>2751</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2"/>
      <c r="M36" s="1133"/>
      <c r="N36" s="1133"/>
      <c r="O36" s="1134"/>
      <c r="P36" s="3215"/>
      <c r="Q36" s="1810" t="str">
        <f t="shared" si="14"/>
        <v>宗地开发程度</v>
      </c>
      <c r="R36" s="770" t="s">
        <v>17</v>
      </c>
      <c r="S36" s="771">
        <f t="shared" si="10"/>
        <v>100</v>
      </c>
      <c r="T36" s="770" t="s">
        <v>17</v>
      </c>
      <c r="U36" s="771">
        <f t="shared" si="11"/>
        <v>100</v>
      </c>
      <c r="V36" s="770" t="s">
        <v>17</v>
      </c>
      <c r="W36" s="771">
        <f t="shared" si="12"/>
        <v>100</v>
      </c>
      <c r="X36" s="772"/>
      <c r="Y36" s="3215"/>
      <c r="Z36" s="55" t="str">
        <f t="shared" si="13"/>
        <v>宗地开发程度</v>
      </c>
      <c r="AA36" s="773">
        <f t="shared" si="3"/>
        <v>1</v>
      </c>
      <c r="AB36" s="773">
        <f t="shared" si="4"/>
        <v>1</v>
      </c>
      <c r="AC36" s="773">
        <f t="shared" si="5"/>
        <v>1</v>
      </c>
    </row>
    <row r="37" spans="1:29" ht="15">
      <c r="A37" s="472"/>
      <c r="B37" s="422" t="s">
        <v>2752</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0"/>
      <c r="M37" s="1131"/>
      <c r="N37" s="1131"/>
      <c r="O37" s="1139"/>
      <c r="P37" s="3215" t="s">
        <v>2562</v>
      </c>
      <c r="Q37" s="1810" t="str">
        <f t="shared" si="14"/>
        <v>工程地质条件</v>
      </c>
      <c r="R37" s="774" t="s">
        <v>17</v>
      </c>
      <c r="S37" s="775">
        <f t="shared" si="10"/>
        <v>100</v>
      </c>
      <c r="T37" s="774" t="s">
        <v>17</v>
      </c>
      <c r="U37" s="775">
        <f t="shared" si="11"/>
        <v>100</v>
      </c>
      <c r="V37" s="774" t="s">
        <v>17</v>
      </c>
      <c r="W37" s="775">
        <f t="shared" si="12"/>
        <v>100</v>
      </c>
      <c r="X37" s="1813"/>
      <c r="Y37" s="3215" t="s">
        <v>2562</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5"/>
      <c r="Q38" s="1810">
        <f t="shared" si="14"/>
        <v>111</v>
      </c>
      <c r="R38" s="774" t="s">
        <v>17</v>
      </c>
      <c r="S38" s="775">
        <f t="shared" si="10"/>
        <v>100</v>
      </c>
      <c r="T38" s="774" t="s">
        <v>17</v>
      </c>
      <c r="U38" s="775">
        <f t="shared" si="11"/>
        <v>100</v>
      </c>
      <c r="V38" s="774" t="s">
        <v>17</v>
      </c>
      <c r="W38" s="775">
        <f t="shared" si="12"/>
        <v>100</v>
      </c>
      <c r="X38" s="1813"/>
      <c r="Y38" s="3215"/>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5"/>
      <c r="Q39" s="1810">
        <f t="shared" si="14"/>
        <v>111</v>
      </c>
      <c r="R39" s="774" t="s">
        <v>17</v>
      </c>
      <c r="S39" s="775">
        <f t="shared" si="10"/>
        <v>100</v>
      </c>
      <c r="T39" s="774" t="s">
        <v>17</v>
      </c>
      <c r="U39" s="775">
        <f t="shared" si="11"/>
        <v>100</v>
      </c>
      <c r="V39" s="774" t="s">
        <v>17</v>
      </c>
      <c r="W39" s="775">
        <f t="shared" si="12"/>
        <v>100</v>
      </c>
      <c r="X39" s="1813"/>
      <c r="Y39" s="3215"/>
      <c r="Z39" s="1814">
        <f t="shared" si="13"/>
        <v>111</v>
      </c>
      <c r="AA39" s="1811">
        <f t="shared" si="3"/>
        <v>1</v>
      </c>
      <c r="AB39" s="1811">
        <f t="shared" si="4"/>
        <v>1</v>
      </c>
      <c r="AC39" s="1811">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5"/>
      <c r="Q40" s="1810">
        <f t="shared" si="14"/>
        <v>111</v>
      </c>
      <c r="R40" s="777" t="s">
        <v>17</v>
      </c>
      <c r="S40" s="778">
        <f t="shared" si="10"/>
        <v>100</v>
      </c>
      <c r="T40" s="777" t="s">
        <v>17</v>
      </c>
      <c r="U40" s="778">
        <f t="shared" si="11"/>
        <v>100</v>
      </c>
      <c r="V40" s="777" t="s">
        <v>17</v>
      </c>
      <c r="W40" s="778">
        <f t="shared" si="12"/>
        <v>100</v>
      </c>
      <c r="X40" s="779"/>
      <c r="Y40" s="3215"/>
      <c r="Z40" s="780">
        <f t="shared" si="13"/>
        <v>111</v>
      </c>
      <c r="AA40" s="1811">
        <f t="shared" si="3"/>
        <v>1</v>
      </c>
      <c r="AB40" s="1811">
        <f t="shared" si="4"/>
        <v>1</v>
      </c>
      <c r="AC40" s="1811">
        <f t="shared" si="5"/>
        <v>1</v>
      </c>
    </row>
    <row r="41" spans="1:29" ht="15">
      <c r="A41" s="479" t="s">
        <v>2717</v>
      </c>
      <c r="B41" s="2703" t="s">
        <v>2797</v>
      </c>
      <c r="C41" s="682" t="s">
        <v>1</v>
      </c>
      <c r="D41" s="481"/>
      <c r="E41" s="482"/>
      <c r="F41" s="483"/>
      <c r="G41" s="484"/>
      <c r="H41" s="485"/>
      <c r="I41" s="482"/>
      <c r="J41" s="485"/>
      <c r="K41" s="783"/>
      <c r="L41" s="1143"/>
      <c r="M41" s="1131"/>
      <c r="N41" s="1131"/>
      <c r="O41" s="1144"/>
      <c r="P41" s="3208" t="str">
        <f>A41</f>
        <v>成交单价</v>
      </c>
      <c r="Q41" s="3208"/>
      <c r="R41" s="3239">
        <f>E41</f>
        <v>0</v>
      </c>
      <c r="S41" s="3239"/>
      <c r="T41" s="3239">
        <f>G41</f>
        <v>0</v>
      </c>
      <c r="U41" s="3239"/>
      <c r="V41" s="3239">
        <f>I41</f>
        <v>0</v>
      </c>
      <c r="W41" s="3239"/>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208" t="str">
        <f>A42</f>
        <v>比较价值（元/平方米）</v>
      </c>
      <c r="Q42" s="3208"/>
      <c r="R42" s="3269" t="e">
        <f>ROUND(PRODUCT(R41,AA7:AA40),0)</f>
        <v>#DIV/0!</v>
      </c>
      <c r="S42" s="3269"/>
      <c r="T42" s="3269" t="e">
        <f>ROUND(PRODUCT(T41,AB7:AB40),0)</f>
        <v>#DIV/0!</v>
      </c>
      <c r="U42" s="3269"/>
      <c r="V42" s="3269" t="e">
        <f>ROUND(PRODUCT(V41,AC7:AC40),0)</f>
        <v>#DIV/0!</v>
      </c>
      <c r="W42" s="3269"/>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3"/>
      <c r="M43" s="1131"/>
      <c r="N43" s="1131"/>
      <c r="O43" s="1144"/>
      <c r="P43" s="3205" t="str">
        <f>A43</f>
        <v>估价对象XX用房的比较价值（楼面单价，元/平方米）</v>
      </c>
      <c r="Q43" s="3206"/>
      <c r="R43" s="3270" t="e">
        <f>ROUND(AVERAGE(R42:V42),0)</f>
        <v>#DIV/0!</v>
      </c>
      <c r="S43" s="3270"/>
      <c r="T43" s="3270"/>
      <c r="U43" s="3270"/>
      <c r="V43" s="3270"/>
      <c r="W43" s="3270"/>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2755</v>
      </c>
      <c r="B50" s="685" t="s">
        <v>2756</v>
      </c>
      <c r="C50" s="2704" t="s">
        <v>2757</v>
      </c>
      <c r="D50" s="2705" t="s">
        <v>2758</v>
      </c>
      <c r="E50" s="686" t="s">
        <v>2759</v>
      </c>
      <c r="F50" s="687" t="s">
        <v>2760</v>
      </c>
      <c r="G50" s="3223" t="s">
        <v>2761</v>
      </c>
      <c r="H50" s="3271"/>
      <c r="I50" s="1814" t="s">
        <v>2798</v>
      </c>
      <c r="J50" s="1814">
        <f>项目基本情况!F35</f>
        <v>0</v>
      </c>
      <c r="K50" s="2707" t="s">
        <v>2763</v>
      </c>
      <c r="L50" s="1106"/>
      <c r="M50" s="1144"/>
      <c r="N50" s="1144"/>
      <c r="O50" s="1144"/>
    </row>
    <row r="51" spans="1:17" s="692" customFormat="1">
      <c r="A51" s="688" t="s">
        <v>2764</v>
      </c>
      <c r="B51" s="689" t="e">
        <f>C43</f>
        <v>#DIV/0!</v>
      </c>
      <c r="C51" s="690">
        <v>1</v>
      </c>
      <c r="D51" s="1163">
        <v>1</v>
      </c>
      <c r="E51" s="690">
        <f>'数据-汇总表'!E8+'数据-汇总表'!E9</f>
        <v>5028.579999999999</v>
      </c>
      <c r="F51" s="691" t="e">
        <f t="shared" ref="F51:F60" si="15">ROUND(B51*E51/10000,0)</f>
        <v>#DIV/0!</v>
      </c>
      <c r="G51" s="3219"/>
      <c r="H51" s="3208"/>
      <c r="I51" s="942">
        <v>1</v>
      </c>
      <c r="J51" s="942">
        <v>1</v>
      </c>
      <c r="K51" s="1145"/>
      <c r="L51" s="941"/>
      <c r="M51" s="941"/>
      <c r="N51" s="941"/>
      <c r="O51" s="941"/>
    </row>
    <row r="52" spans="1:17" s="692" customFormat="1">
      <c r="A52" s="693" t="s">
        <v>2765</v>
      </c>
      <c r="B52" s="262" t="e">
        <f>ROUND($C$43*C52*D52,0)</f>
        <v>#DIV/0!</v>
      </c>
      <c r="C52" s="200">
        <f t="shared" ref="C52:C60" si="16">IF($C$50="北京市系数",I52,J52)</f>
        <v>0</v>
      </c>
      <c r="D52" s="1164">
        <v>0.25</v>
      </c>
      <c r="E52" s="694"/>
      <c r="F52" s="691" t="e">
        <f t="shared" si="15"/>
        <v>#DIV/0!</v>
      </c>
      <c r="G52" s="3272" t="s">
        <v>2766</v>
      </c>
      <c r="H52" s="1104">
        <f>项目基本情况!B37</f>
        <v>0</v>
      </c>
      <c r="I52" s="942">
        <f>SUMIF(修正!A45:A56,H52,修正!B45:B56)</f>
        <v>0</v>
      </c>
      <c r="J52" s="943"/>
      <c r="K52" s="1144"/>
      <c r="L52" s="941"/>
      <c r="M52" s="941"/>
      <c r="N52" s="941"/>
      <c r="O52" s="941"/>
    </row>
    <row r="53" spans="1:17" s="692" customFormat="1">
      <c r="A53" s="693" t="s">
        <v>2767</v>
      </c>
      <c r="B53" s="262" t="e">
        <f t="shared" ref="B53:B60" si="17">ROUND($C$43*C53*D53,0)</f>
        <v>#DIV/0!</v>
      </c>
      <c r="C53" s="200">
        <f t="shared" si="16"/>
        <v>0</v>
      </c>
      <c r="D53" s="1164">
        <v>0.25</v>
      </c>
      <c r="E53" s="694"/>
      <c r="F53" s="691" t="e">
        <f t="shared" si="15"/>
        <v>#DIV/0!</v>
      </c>
      <c r="G53" s="3272"/>
      <c r="H53" s="1104">
        <f>项目基本情况!B37</f>
        <v>0</v>
      </c>
      <c r="I53" s="942">
        <f>SUMIF(修正!A45:A56,H53,修正!C45:C56)</f>
        <v>0</v>
      </c>
      <c r="J53" s="943"/>
      <c r="K53" s="1145"/>
      <c r="L53" s="941"/>
      <c r="M53" s="941"/>
      <c r="N53" s="941"/>
      <c r="O53" s="941"/>
    </row>
    <row r="54" spans="1:17" s="692" customFormat="1">
      <c r="A54" s="693" t="s">
        <v>2768</v>
      </c>
      <c r="B54" s="262" t="e">
        <f t="shared" si="17"/>
        <v>#DIV/0!</v>
      </c>
      <c r="C54" s="200">
        <f t="shared" si="16"/>
        <v>0</v>
      </c>
      <c r="D54" s="1164">
        <v>0.25</v>
      </c>
      <c r="E54" s="694"/>
      <c r="F54" s="691" t="e">
        <f t="shared" si="15"/>
        <v>#DIV/0!</v>
      </c>
      <c r="G54" s="3272"/>
      <c r="H54" s="1104">
        <f>项目基本情况!B37</f>
        <v>0</v>
      </c>
      <c r="I54" s="942">
        <f>SUMIF(修正!A45:A56,H54,修正!D45:D56)</f>
        <v>0</v>
      </c>
      <c r="J54" s="943"/>
      <c r="K54" s="1144"/>
      <c r="L54" s="941"/>
      <c r="M54" s="941"/>
      <c r="N54" s="941"/>
      <c r="O54" s="941"/>
    </row>
    <row r="55" spans="1:17" s="692" customFormat="1">
      <c r="A55" s="693" t="s">
        <v>2769</v>
      </c>
      <c r="B55" s="262" t="e">
        <f t="shared" si="17"/>
        <v>#DIV/0!</v>
      </c>
      <c r="C55" s="200">
        <f t="shared" si="16"/>
        <v>0</v>
      </c>
      <c r="D55" s="1164">
        <v>0.25</v>
      </c>
      <c r="E55" s="694"/>
      <c r="F55" s="691" t="e">
        <f t="shared" si="15"/>
        <v>#DIV/0!</v>
      </c>
      <c r="G55" s="3272"/>
      <c r="H55" s="1104">
        <f>项目基本情况!B37</f>
        <v>0</v>
      </c>
      <c r="I55" s="942">
        <f>SUMIF(修正!A45:A56,H55,修正!E45:E56)</f>
        <v>0</v>
      </c>
      <c r="J55" s="943"/>
      <c r="K55" s="1145"/>
      <c r="L55" s="941"/>
      <c r="M55" s="941"/>
      <c r="N55" s="941"/>
      <c r="O55" s="941"/>
    </row>
    <row r="56" spans="1:17" s="692" customFormat="1">
      <c r="A56" s="693" t="s">
        <v>2770</v>
      </c>
      <c r="B56" s="262" t="e">
        <f t="shared" si="17"/>
        <v>#DIV/0!</v>
      </c>
      <c r="C56" s="200">
        <f t="shared" si="16"/>
        <v>0.3</v>
      </c>
      <c r="D56" s="1164">
        <v>0.25</v>
      </c>
      <c r="E56" s="261">
        <f>'数据-汇总表'!E11</f>
        <v>0</v>
      </c>
      <c r="F56" s="691" t="e">
        <f t="shared" si="15"/>
        <v>#DIV/0!</v>
      </c>
      <c r="G56" s="2708" t="s">
        <v>2771</v>
      </c>
      <c r="H56" s="1104" t="str">
        <f>项目基本情况!C37</f>
        <v>二级</v>
      </c>
      <c r="I56" s="942">
        <f>SUMIF(修正!A45:A56,H56,修正!F45:F56)</f>
        <v>0.3</v>
      </c>
      <c r="J56" s="943"/>
      <c r="K56" s="1144"/>
      <c r="L56" s="941"/>
      <c r="M56" s="941"/>
      <c r="N56" s="941"/>
      <c r="O56" s="941"/>
    </row>
    <row r="57" spans="1:17" s="692" customFormat="1">
      <c r="A57" s="693" t="s">
        <v>2772</v>
      </c>
      <c r="B57" s="262" t="e">
        <f t="shared" si="17"/>
        <v>#DIV/0!</v>
      </c>
      <c r="C57" s="200">
        <f t="shared" si="16"/>
        <v>0.3</v>
      </c>
      <c r="D57" s="1164">
        <v>0.25</v>
      </c>
      <c r="E57" s="261">
        <f>'数据-汇总表'!E12</f>
        <v>0</v>
      </c>
      <c r="F57" s="691" t="e">
        <f t="shared" si="15"/>
        <v>#DIV/0!</v>
      </c>
      <c r="G57" s="1109" t="s">
        <v>2773</v>
      </c>
      <c r="H57" s="1104" t="str">
        <f>IF(G57="商业",项目基本情况!B37,IF(G57="办公",项目基本情况!C37,IF(G57="住宅",项目基本情况!D37,项目基本情况!E37)))</f>
        <v>二级</v>
      </c>
      <c r="I57" s="942">
        <f>SUMIF(修正!A45:A56,H57,修正!G45:G56)</f>
        <v>0.3</v>
      </c>
      <c r="J57" s="943"/>
      <c r="K57" s="1145"/>
      <c r="L57" s="941"/>
      <c r="M57" s="941"/>
      <c r="N57" s="941"/>
      <c r="O57" s="941"/>
    </row>
    <row r="58" spans="1:17" s="692" customFormat="1">
      <c r="A58" s="693" t="s">
        <v>2774</v>
      </c>
      <c r="B58" s="262" t="e">
        <f t="shared" si="17"/>
        <v>#DIV/0!</v>
      </c>
      <c r="C58" s="200">
        <f t="shared" si="16"/>
        <v>0.25</v>
      </c>
      <c r="D58" s="1164">
        <v>0.25</v>
      </c>
      <c r="E58" s="261">
        <f>'数据-汇总表'!E13</f>
        <v>0</v>
      </c>
      <c r="F58" s="691" t="e">
        <f t="shared" si="15"/>
        <v>#DIV/0!</v>
      </c>
      <c r="G58" s="1109" t="s">
        <v>2775</v>
      </c>
      <c r="H58" s="1104" t="str">
        <f>IF(G58="商业",项目基本情况!B37,IF(G58="办公",项目基本情况!C37,IF(G58="住宅",项目基本情况!D37,项目基本情况!E37)))</f>
        <v>二级</v>
      </c>
      <c r="I58" s="942">
        <f>SUMIF(修正!A45:A56,H58,修正!H45:H56)</f>
        <v>0.25</v>
      </c>
      <c r="J58" s="943"/>
      <c r="K58" s="1144"/>
      <c r="L58" s="941"/>
      <c r="M58" s="941"/>
      <c r="N58" s="941"/>
      <c r="O58" s="941"/>
    </row>
    <row r="59" spans="1:17" s="692" customFormat="1">
      <c r="A59" s="693" t="s">
        <v>2776</v>
      </c>
      <c r="B59" s="262" t="e">
        <f t="shared" si="17"/>
        <v>#DIV/0!</v>
      </c>
      <c r="C59" s="200">
        <f t="shared" si="16"/>
        <v>0</v>
      </c>
      <c r="D59" s="1164">
        <v>0.25</v>
      </c>
      <c r="E59" s="261">
        <f>'数据-汇总表'!E14</f>
        <v>0</v>
      </c>
      <c r="F59" s="691" t="e">
        <f t="shared" si="15"/>
        <v>#DIV/0!</v>
      </c>
      <c r="G59" s="2708" t="s">
        <v>2766</v>
      </c>
      <c r="H59" s="1104">
        <f>项目基本情况!B37</f>
        <v>0</v>
      </c>
      <c r="I59" s="942">
        <f>SUMIF(修正!A45:A56,H59,修正!H45:H56)</f>
        <v>0</v>
      </c>
      <c r="J59" s="943"/>
      <c r="K59" s="1145"/>
      <c r="L59" s="941"/>
      <c r="M59" s="941"/>
      <c r="N59" s="941"/>
      <c r="O59" s="941"/>
    </row>
    <row r="60" spans="1:17" s="692" customFormat="1" ht="15" thickBot="1">
      <c r="A60" s="693" t="s">
        <v>2777</v>
      </c>
      <c r="B60" s="262" t="e">
        <f t="shared" si="17"/>
        <v>#DIV/0!</v>
      </c>
      <c r="C60" s="200">
        <f t="shared" si="16"/>
        <v>0.25</v>
      </c>
      <c r="D60" s="1164">
        <v>0.25</v>
      </c>
      <c r="E60" s="261">
        <f>'数据-汇总表'!E15</f>
        <v>0</v>
      </c>
      <c r="F60" s="691" t="e">
        <f t="shared" si="15"/>
        <v>#DIV/0!</v>
      </c>
      <c r="G60" s="2709" t="s">
        <v>2771</v>
      </c>
      <c r="H60" s="1114" t="str">
        <f>项目基本情况!C37</f>
        <v>二级</v>
      </c>
      <c r="I60" s="942">
        <f>SUMIF(修正!A45:A56,H60,修正!H45:H56)</f>
        <v>0.25</v>
      </c>
      <c r="J60" s="943"/>
      <c r="K60" s="1144"/>
      <c r="L60" s="941"/>
      <c r="M60" s="941"/>
      <c r="N60" s="941"/>
      <c r="O60" s="941"/>
    </row>
    <row r="61" spans="1:17" s="692" customFormat="1" ht="15" thickBot="1">
      <c r="A61" s="695" t="s">
        <v>2778</v>
      </c>
      <c r="B61" s="696" t="s">
        <v>28</v>
      </c>
      <c r="C61" s="696" t="s">
        <v>29</v>
      </c>
      <c r="D61" s="696" t="s">
        <v>1026</v>
      </c>
      <c r="E61" s="696">
        <f>IF(B41="楼面地价",SUM(E51:E60),'数据-汇总表'!D3)</f>
        <v>563.73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2019-11-1</v>
      </c>
      <c r="D63" s="761">
        <f>EDATE(C63,-3)</f>
        <v>43678</v>
      </c>
      <c r="E63" s="761">
        <f>EDATE(D63,-3)</f>
        <v>43586</v>
      </c>
      <c r="F63" s="761">
        <f t="shared" ref="F63:O63" si="18">EDATE(E63,-3)</f>
        <v>43497</v>
      </c>
      <c r="G63" s="761">
        <f t="shared" si="18"/>
        <v>43405</v>
      </c>
      <c r="H63" s="761">
        <f t="shared" si="18"/>
        <v>43313</v>
      </c>
      <c r="I63" s="761">
        <f t="shared" si="18"/>
        <v>43221</v>
      </c>
      <c r="J63" s="761">
        <f t="shared" si="18"/>
        <v>43132</v>
      </c>
      <c r="K63" s="761">
        <f t="shared" si="18"/>
        <v>43040</v>
      </c>
      <c r="L63" s="761">
        <f t="shared" si="18"/>
        <v>42948</v>
      </c>
      <c r="M63" s="761">
        <f t="shared" si="18"/>
        <v>42856</v>
      </c>
      <c r="N63" s="761">
        <f t="shared" si="18"/>
        <v>42767</v>
      </c>
      <c r="O63" s="761">
        <f t="shared" si="18"/>
        <v>42675</v>
      </c>
    </row>
    <row r="64" spans="1:17" ht="21.75" thickBot="1">
      <c r="A64" s="763" t="s">
        <v>2671</v>
      </c>
      <c r="B64" s="759"/>
      <c r="C64" s="764"/>
      <c r="D64" s="764"/>
      <c r="E64" s="764"/>
      <c r="F64" s="765"/>
      <c r="G64" s="765"/>
      <c r="H64" s="764"/>
      <c r="I64" s="764"/>
      <c r="J64" s="764"/>
      <c r="K64" s="766"/>
      <c r="L64" s="767"/>
      <c r="M64" s="764"/>
      <c r="N64" s="764"/>
      <c r="O64" s="1159"/>
      <c r="P64" s="503"/>
      <c r="Q64" s="504"/>
    </row>
    <row r="65" spans="1:17" s="508" customFormat="1" ht="15">
      <c r="A65" s="2710" t="s">
        <v>2779</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5" t="s">
        <v>2799</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2554</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2688</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7" t="s">
        <v>183</v>
      </c>
      <c r="B18" s="882" t="s">
        <v>560</v>
      </c>
      <c r="C18" s="883" t="s">
        <v>561</v>
      </c>
      <c r="D18" s="884"/>
      <c r="E18" s="882">
        <v>1</v>
      </c>
      <c r="F18" s="885" t="s">
        <v>562</v>
      </c>
      <c r="G18" s="886"/>
      <c r="H18" s="878"/>
      <c r="I18" s="878"/>
    </row>
    <row r="19" spans="1:9" s="887" customFormat="1" ht="19.5" customHeight="1">
      <c r="A19" s="3277"/>
      <c r="B19" s="3277" t="s">
        <v>563</v>
      </c>
      <c r="C19" s="883" t="s">
        <v>564</v>
      </c>
      <c r="D19" s="884"/>
      <c r="E19" s="882">
        <v>0.9</v>
      </c>
      <c r="F19" s="885" t="s">
        <v>565</v>
      </c>
      <c r="G19" s="886"/>
      <c r="H19" s="878"/>
      <c r="I19" s="878"/>
    </row>
    <row r="20" spans="1:9" s="887" customFormat="1" ht="19.5" customHeight="1">
      <c r="A20" s="3277"/>
      <c r="B20" s="3277"/>
      <c r="C20" s="883" t="s">
        <v>566</v>
      </c>
      <c r="D20" s="884"/>
      <c r="E20" s="882">
        <v>1.1000000000000001</v>
      </c>
      <c r="F20" s="885" t="s">
        <v>567</v>
      </c>
      <c r="G20" s="886"/>
      <c r="H20" s="878"/>
      <c r="I20" s="878"/>
    </row>
    <row r="21" spans="1:9" s="887" customFormat="1" ht="19.5" customHeight="1">
      <c r="A21" s="3277"/>
      <c r="B21" s="3277"/>
      <c r="C21" s="883" t="s">
        <v>568</v>
      </c>
      <c r="D21" s="884"/>
      <c r="E21" s="882">
        <v>0.8</v>
      </c>
      <c r="F21" s="885" t="s">
        <v>569</v>
      </c>
      <c r="G21" s="886"/>
      <c r="H21" s="878"/>
      <c r="I21" s="878"/>
    </row>
    <row r="22" spans="1:9" s="887" customFormat="1" ht="19.5" customHeight="1">
      <c r="A22" s="3277"/>
      <c r="B22" s="3277"/>
      <c r="C22" s="883" t="s">
        <v>570</v>
      </c>
      <c r="D22" s="884"/>
      <c r="E22" s="882">
        <v>0.5</v>
      </c>
      <c r="F22" s="885"/>
      <c r="G22" s="886"/>
      <c r="H22" s="878"/>
      <c r="I22" s="878"/>
    </row>
    <row r="23" spans="1:9" s="887" customFormat="1" ht="19.5" customHeight="1">
      <c r="A23" s="3277" t="s">
        <v>184</v>
      </c>
      <c r="B23" s="882" t="s">
        <v>560</v>
      </c>
      <c r="C23" s="883" t="s">
        <v>571</v>
      </c>
      <c r="D23" s="884"/>
      <c r="E23" s="882">
        <v>1</v>
      </c>
      <c r="F23" s="885" t="s">
        <v>572</v>
      </c>
      <c r="G23" s="886"/>
      <c r="H23" s="878"/>
      <c r="I23" s="878"/>
    </row>
    <row r="24" spans="1:9" s="887" customFormat="1" ht="19.5" customHeight="1">
      <c r="A24" s="3277"/>
      <c r="B24" s="3277" t="s">
        <v>563</v>
      </c>
      <c r="C24" s="883" t="s">
        <v>573</v>
      </c>
      <c r="D24" s="884"/>
      <c r="E24" s="882">
        <v>0.5</v>
      </c>
      <c r="F24" s="885"/>
      <c r="G24" s="886"/>
      <c r="H24" s="878"/>
      <c r="I24" s="878"/>
    </row>
    <row r="25" spans="1:9" s="887" customFormat="1" ht="19.5" customHeight="1">
      <c r="A25" s="3277"/>
      <c r="B25" s="3277"/>
      <c r="C25" s="883" t="s">
        <v>574</v>
      </c>
      <c r="D25" s="884"/>
      <c r="E25" s="882">
        <v>1.1000000000000001</v>
      </c>
      <c r="F25" s="885"/>
      <c r="G25" s="886"/>
      <c r="H25" s="878"/>
      <c r="I25" s="878"/>
    </row>
    <row r="26" spans="1:9" s="887" customFormat="1" ht="19.5" customHeight="1">
      <c r="A26" s="3277"/>
      <c r="B26" s="3277"/>
      <c r="C26" s="883" t="s">
        <v>575</v>
      </c>
      <c r="D26" s="884"/>
      <c r="E26" s="882">
        <v>1.1000000000000001</v>
      </c>
      <c r="F26" s="885"/>
      <c r="G26" s="886"/>
      <c r="H26" s="878"/>
      <c r="I26" s="878"/>
    </row>
    <row r="27" spans="1:9" s="887" customFormat="1" ht="19.5" customHeight="1">
      <c r="A27" s="3277"/>
      <c r="B27" s="3277"/>
      <c r="C27" s="883" t="s">
        <v>576</v>
      </c>
      <c r="D27" s="884"/>
      <c r="E27" s="882">
        <v>0.9</v>
      </c>
      <c r="F27" s="885" t="s">
        <v>577</v>
      </c>
      <c r="G27" s="886"/>
      <c r="H27" s="878"/>
      <c r="I27" s="878"/>
    </row>
    <row r="28" spans="1:9" s="887" customFormat="1" ht="19.5" customHeight="1">
      <c r="A28" s="3277"/>
      <c r="B28" s="3277"/>
      <c r="C28" s="883" t="s">
        <v>578</v>
      </c>
      <c r="D28" s="884"/>
      <c r="E28" s="882">
        <v>0.9</v>
      </c>
      <c r="F28" s="885" t="s">
        <v>579</v>
      </c>
      <c r="G28" s="886"/>
      <c r="H28" s="878"/>
      <c r="I28" s="878"/>
    </row>
    <row r="29" spans="1:9" s="887" customFormat="1" ht="19.5" customHeight="1">
      <c r="A29" s="3277"/>
      <c r="B29" s="3277"/>
      <c r="C29" s="883" t="s">
        <v>580</v>
      </c>
      <c r="D29" s="884"/>
      <c r="E29" s="882">
        <v>0.9</v>
      </c>
      <c r="F29" s="885" t="s">
        <v>581</v>
      </c>
      <c r="G29" s="886"/>
      <c r="H29" s="878"/>
      <c r="I29" s="878"/>
    </row>
    <row r="30" spans="1:9" s="887" customFormat="1" ht="19.5" customHeight="1">
      <c r="A30" s="3277"/>
      <c r="B30" s="3277"/>
      <c r="C30" s="883" t="s">
        <v>582</v>
      </c>
      <c r="D30" s="884"/>
      <c r="E30" s="882">
        <v>0.9</v>
      </c>
      <c r="F30" s="885" t="s">
        <v>583</v>
      </c>
      <c r="G30" s="886"/>
      <c r="H30" s="878"/>
      <c r="I30" s="878"/>
    </row>
    <row r="31" spans="1:9" s="887" customFormat="1" ht="19.5" customHeight="1">
      <c r="A31" s="3277"/>
      <c r="B31" s="3277"/>
      <c r="C31" s="883" t="s">
        <v>584</v>
      </c>
      <c r="D31" s="884"/>
      <c r="E31" s="882">
        <v>0.8</v>
      </c>
      <c r="F31" s="885" t="s">
        <v>585</v>
      </c>
      <c r="G31" s="886"/>
      <c r="H31" s="878"/>
      <c r="I31" s="878"/>
    </row>
    <row r="32" spans="1:9" s="887" customFormat="1" ht="19.5" customHeight="1">
      <c r="A32" s="3277"/>
      <c r="B32" s="3277"/>
      <c r="C32" s="883" t="s">
        <v>586</v>
      </c>
      <c r="D32" s="884"/>
      <c r="E32" s="882">
        <v>0.8</v>
      </c>
      <c r="F32" s="885" t="s">
        <v>587</v>
      </c>
      <c r="G32" s="886"/>
      <c r="H32" s="878"/>
      <c r="I32" s="878"/>
    </row>
    <row r="33" spans="1:9" s="887" customFormat="1" ht="19.5" customHeight="1">
      <c r="A33" s="3277" t="s">
        <v>185</v>
      </c>
      <c r="B33" s="882" t="s">
        <v>560</v>
      </c>
      <c r="C33" s="883" t="s">
        <v>588</v>
      </c>
      <c r="D33" s="884"/>
      <c r="E33" s="882">
        <v>1</v>
      </c>
      <c r="F33" s="885" t="s">
        <v>589</v>
      </c>
      <c r="G33" s="886"/>
      <c r="H33" s="878"/>
      <c r="I33" s="878"/>
    </row>
    <row r="34" spans="1:9" s="887" customFormat="1" ht="19.5" customHeight="1">
      <c r="A34" s="3277"/>
      <c r="B34" s="882" t="s">
        <v>563</v>
      </c>
      <c r="C34" s="883" t="s">
        <v>590</v>
      </c>
      <c r="D34" s="884"/>
      <c r="E34" s="882">
        <v>1.5</v>
      </c>
      <c r="F34" s="885" t="s">
        <v>591</v>
      </c>
      <c r="G34" s="886"/>
      <c r="H34" s="878"/>
      <c r="I34" s="878"/>
    </row>
    <row r="35" spans="1:9" s="887" customFormat="1" ht="19.5" customHeight="1">
      <c r="A35" s="3277" t="s">
        <v>186</v>
      </c>
      <c r="B35" s="882" t="s">
        <v>560</v>
      </c>
      <c r="C35" s="883" t="s">
        <v>592</v>
      </c>
      <c r="D35" s="884"/>
      <c r="E35" s="882">
        <v>1</v>
      </c>
      <c r="F35" s="885" t="s">
        <v>593</v>
      </c>
      <c r="G35" s="886"/>
      <c r="H35" s="878"/>
      <c r="I35" s="878"/>
    </row>
    <row r="36" spans="1:9" s="887" customFormat="1" ht="19.5" customHeight="1">
      <c r="A36" s="3277"/>
      <c r="B36" s="3277" t="s">
        <v>563</v>
      </c>
      <c r="C36" s="883" t="s">
        <v>594</v>
      </c>
      <c r="D36" s="884"/>
      <c r="E36" s="882">
        <v>1</v>
      </c>
      <c r="F36" s="885" t="s">
        <v>595</v>
      </c>
      <c r="G36" s="886"/>
      <c r="H36" s="878"/>
      <c r="I36" s="878"/>
    </row>
    <row r="37" spans="1:9" s="887" customFormat="1" ht="19.5" customHeight="1">
      <c r="A37" s="3277"/>
      <c r="B37" s="3277"/>
      <c r="C37" s="883" t="s">
        <v>596</v>
      </c>
      <c r="D37" s="884"/>
      <c r="E37" s="882">
        <v>1.5</v>
      </c>
      <c r="F37" s="885" t="s">
        <v>597</v>
      </c>
      <c r="G37" s="886"/>
      <c r="H37" s="878"/>
      <c r="I37" s="878"/>
    </row>
    <row r="38" spans="1:9" s="887" customFormat="1" ht="19.5" customHeight="1">
      <c r="A38" s="3277"/>
      <c r="B38" s="3277"/>
      <c r="C38" s="883" t="s">
        <v>598</v>
      </c>
      <c r="D38" s="884"/>
      <c r="E38" s="882">
        <v>1</v>
      </c>
      <c r="F38" s="885" t="s">
        <v>599</v>
      </c>
      <c r="G38" s="886"/>
      <c r="H38" s="878"/>
      <c r="I38" s="878"/>
    </row>
    <row r="39" spans="1:9" s="887" customFormat="1" ht="19.5" customHeight="1">
      <c r="A39" s="3277"/>
      <c r="B39" s="327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7" t="s">
        <v>614</v>
      </c>
      <c r="C61" s="818" t="s">
        <v>615</v>
      </c>
      <c r="D61" s="818" t="s">
        <v>616</v>
      </c>
      <c r="E61" s="895">
        <v>0.5</v>
      </c>
      <c r="F61" s="882">
        <v>80</v>
      </c>
    </row>
    <row r="62" spans="1:8" s="878" customFormat="1" ht="24">
      <c r="A62" s="882">
        <v>2</v>
      </c>
      <c r="B62" s="3277"/>
      <c r="C62" s="818" t="s">
        <v>617</v>
      </c>
      <c r="D62" s="818" t="s">
        <v>618</v>
      </c>
      <c r="E62" s="895">
        <v>0.5</v>
      </c>
      <c r="F62" s="882">
        <v>80</v>
      </c>
    </row>
    <row r="63" spans="1:8" s="878" customFormat="1" ht="36">
      <c r="A63" s="882">
        <v>3</v>
      </c>
      <c r="B63" s="3277"/>
      <c r="C63" s="818" t="s">
        <v>619</v>
      </c>
      <c r="D63" s="818" t="s">
        <v>620</v>
      </c>
      <c r="E63" s="895">
        <v>0.5</v>
      </c>
      <c r="F63" s="882">
        <v>80</v>
      </c>
    </row>
    <row r="64" spans="1:8" s="878" customFormat="1" ht="36">
      <c r="A64" s="882">
        <v>4</v>
      </c>
      <c r="B64" s="3277"/>
      <c r="C64" s="818" t="s">
        <v>621</v>
      </c>
      <c r="D64" s="818" t="s">
        <v>622</v>
      </c>
      <c r="E64" s="895">
        <v>0.4</v>
      </c>
      <c r="F64" s="882">
        <v>60</v>
      </c>
    </row>
    <row r="65" spans="1:6" s="878" customFormat="1" ht="36">
      <c r="A65" s="882">
        <v>5</v>
      </c>
      <c r="B65" s="3277"/>
      <c r="C65" s="818" t="s">
        <v>623</v>
      </c>
      <c r="D65" s="818" t="s">
        <v>624</v>
      </c>
      <c r="E65" s="895">
        <v>0.2</v>
      </c>
      <c r="F65" s="882">
        <v>30</v>
      </c>
    </row>
    <row r="66" spans="1:6" s="878" customFormat="1" ht="36">
      <c r="A66" s="882">
        <v>6</v>
      </c>
      <c r="B66" s="3277"/>
      <c r="C66" s="818" t="s">
        <v>625</v>
      </c>
      <c r="D66" s="818" t="s">
        <v>626</v>
      </c>
      <c r="E66" s="895">
        <v>0.3</v>
      </c>
      <c r="F66" s="882">
        <v>50</v>
      </c>
    </row>
    <row r="67" spans="1:6" s="878" customFormat="1" ht="36">
      <c r="A67" s="882">
        <v>7</v>
      </c>
      <c r="B67" s="3277"/>
      <c r="C67" s="818" t="s">
        <v>627</v>
      </c>
      <c r="D67" s="818" t="s">
        <v>628</v>
      </c>
      <c r="E67" s="895">
        <v>0.2</v>
      </c>
      <c r="F67" s="882">
        <v>30</v>
      </c>
    </row>
    <row r="68" spans="1:6" s="878" customFormat="1" ht="36">
      <c r="A68" s="882">
        <v>8</v>
      </c>
      <c r="B68" s="3277"/>
      <c r="C68" s="818" t="s">
        <v>629</v>
      </c>
      <c r="D68" s="818" t="s">
        <v>630</v>
      </c>
      <c r="E68" s="895">
        <v>0.2</v>
      </c>
      <c r="F68" s="882">
        <v>30</v>
      </c>
    </row>
    <row r="69" spans="1:6" s="878" customFormat="1" ht="36">
      <c r="A69" s="882">
        <v>9</v>
      </c>
      <c r="B69" s="3277"/>
      <c r="C69" s="818" t="s">
        <v>631</v>
      </c>
      <c r="D69" s="818" t="s">
        <v>632</v>
      </c>
      <c r="E69" s="895">
        <v>0.2</v>
      </c>
      <c r="F69" s="882">
        <v>30</v>
      </c>
    </row>
    <row r="70" spans="1:6" s="878" customFormat="1" ht="48">
      <c r="A70" s="882">
        <v>10</v>
      </c>
      <c r="B70" s="3277"/>
      <c r="C70" s="818" t="s">
        <v>633</v>
      </c>
      <c r="D70" s="818" t="s">
        <v>634</v>
      </c>
      <c r="E70" s="895">
        <v>0.2</v>
      </c>
      <c r="F70" s="882">
        <v>30</v>
      </c>
    </row>
    <row r="71" spans="1:6" s="878" customFormat="1" ht="48">
      <c r="A71" s="882">
        <v>11</v>
      </c>
      <c r="B71" s="3277"/>
      <c r="C71" s="818" t="s">
        <v>635</v>
      </c>
      <c r="D71" s="818" t="s">
        <v>636</v>
      </c>
      <c r="E71" s="895">
        <v>0.2</v>
      </c>
      <c r="F71" s="882">
        <v>30</v>
      </c>
    </row>
    <row r="72" spans="1:6" s="878" customFormat="1" ht="36">
      <c r="A72" s="882">
        <v>12</v>
      </c>
      <c r="B72" s="3277"/>
      <c r="C72" s="818" t="s">
        <v>637</v>
      </c>
      <c r="D72" s="818" t="s">
        <v>638</v>
      </c>
      <c r="E72" s="895">
        <v>0.5</v>
      </c>
      <c r="F72" s="882">
        <v>80</v>
      </c>
    </row>
    <row r="73" spans="1:6" s="878" customFormat="1" ht="24">
      <c r="A73" s="882">
        <v>13</v>
      </c>
      <c r="B73" s="3277"/>
      <c r="C73" s="818" t="s">
        <v>639</v>
      </c>
      <c r="D73" s="818" t="s">
        <v>640</v>
      </c>
      <c r="E73" s="895">
        <v>0.4</v>
      </c>
      <c r="F73" s="882">
        <v>60</v>
      </c>
    </row>
    <row r="74" spans="1:6" s="878" customFormat="1" ht="24">
      <c r="A74" s="882">
        <v>14</v>
      </c>
      <c r="B74" s="3277"/>
      <c r="C74" s="818" t="s">
        <v>641</v>
      </c>
      <c r="D74" s="818" t="s">
        <v>642</v>
      </c>
      <c r="E74" s="895">
        <v>0.2</v>
      </c>
      <c r="F74" s="882">
        <v>30</v>
      </c>
    </row>
    <row r="75" spans="1:6" s="878" customFormat="1" ht="24">
      <c r="A75" s="882">
        <v>15</v>
      </c>
      <c r="B75" s="3277"/>
      <c r="C75" s="818" t="s">
        <v>643</v>
      </c>
      <c r="D75" s="818" t="s">
        <v>644</v>
      </c>
      <c r="E75" s="895">
        <v>0.2</v>
      </c>
      <c r="F75" s="882">
        <v>30</v>
      </c>
    </row>
    <row r="76" spans="1:6" s="878" customFormat="1" ht="24">
      <c r="A76" s="882">
        <v>16</v>
      </c>
      <c r="B76" s="3277" t="s">
        <v>645</v>
      </c>
      <c r="C76" s="818" t="s">
        <v>646</v>
      </c>
      <c r="D76" s="818" t="s">
        <v>647</v>
      </c>
      <c r="E76" s="895">
        <v>0.5</v>
      </c>
      <c r="F76" s="882">
        <v>80</v>
      </c>
    </row>
    <row r="77" spans="1:6" s="878" customFormat="1" ht="24">
      <c r="A77" s="882">
        <v>17</v>
      </c>
      <c r="B77" s="3277"/>
      <c r="C77" s="818" t="s">
        <v>648</v>
      </c>
      <c r="D77" s="818" t="s">
        <v>649</v>
      </c>
      <c r="E77" s="895">
        <v>0.5</v>
      </c>
      <c r="F77" s="882">
        <v>80</v>
      </c>
    </row>
    <row r="78" spans="1:6" s="878" customFormat="1" ht="24">
      <c r="A78" s="882">
        <v>18</v>
      </c>
      <c r="B78" s="3277"/>
      <c r="C78" s="818" t="s">
        <v>650</v>
      </c>
      <c r="D78" s="818" t="s">
        <v>651</v>
      </c>
      <c r="E78" s="895">
        <v>0.2</v>
      </c>
      <c r="F78" s="882">
        <v>30</v>
      </c>
    </row>
    <row r="79" spans="1:6" s="878" customFormat="1" ht="24">
      <c r="A79" s="882">
        <v>19</v>
      </c>
      <c r="B79" s="3277"/>
      <c r="C79" s="818" t="s">
        <v>652</v>
      </c>
      <c r="D79" s="818" t="s">
        <v>653</v>
      </c>
      <c r="E79" s="895">
        <v>0.5</v>
      </c>
      <c r="F79" s="882">
        <v>80</v>
      </c>
    </row>
    <row r="80" spans="1:6" s="878" customFormat="1" ht="36">
      <c r="A80" s="882">
        <v>20</v>
      </c>
      <c r="B80" s="3277"/>
      <c r="C80" s="818" t="s">
        <v>654</v>
      </c>
      <c r="D80" s="818" t="s">
        <v>655</v>
      </c>
      <c r="E80" s="895">
        <v>0.2</v>
      </c>
      <c r="F80" s="882">
        <v>30</v>
      </c>
    </row>
    <row r="81" spans="1:6" s="878" customFormat="1" ht="36">
      <c r="A81" s="882">
        <v>21</v>
      </c>
      <c r="B81" s="3277"/>
      <c r="C81" s="818" t="s">
        <v>656</v>
      </c>
      <c r="D81" s="818" t="s">
        <v>657</v>
      </c>
      <c r="E81" s="895">
        <v>0.2</v>
      </c>
      <c r="F81" s="882">
        <v>30</v>
      </c>
    </row>
    <row r="82" spans="1:6" s="878" customFormat="1" ht="48">
      <c r="A82" s="882">
        <v>22</v>
      </c>
      <c r="B82" s="3277"/>
      <c r="C82" s="818" t="s">
        <v>658</v>
      </c>
      <c r="D82" s="818" t="s">
        <v>659</v>
      </c>
      <c r="E82" s="895">
        <v>0.2</v>
      </c>
      <c r="F82" s="882">
        <v>30</v>
      </c>
    </row>
    <row r="83" spans="1:6" s="878" customFormat="1" ht="48">
      <c r="A83" s="882">
        <v>23</v>
      </c>
      <c r="B83" s="3277"/>
      <c r="C83" s="818" t="s">
        <v>660</v>
      </c>
      <c r="D83" s="818" t="s">
        <v>661</v>
      </c>
      <c r="E83" s="895">
        <v>0.2</v>
      </c>
      <c r="F83" s="882">
        <v>30</v>
      </c>
    </row>
    <row r="84" spans="1:6" s="878" customFormat="1" ht="36">
      <c r="A84" s="882">
        <v>24</v>
      </c>
      <c r="B84" s="3277"/>
      <c r="C84" s="818" t="s">
        <v>662</v>
      </c>
      <c r="D84" s="818" t="s">
        <v>663</v>
      </c>
      <c r="E84" s="895">
        <v>0.2</v>
      </c>
      <c r="F84" s="882">
        <v>30</v>
      </c>
    </row>
    <row r="85" spans="1:6" s="878" customFormat="1" ht="36">
      <c r="A85" s="882">
        <v>25</v>
      </c>
      <c r="B85" s="3277"/>
      <c r="C85" s="818" t="s">
        <v>664</v>
      </c>
      <c r="D85" s="818" t="s">
        <v>665</v>
      </c>
      <c r="E85" s="895">
        <v>0.5</v>
      </c>
      <c r="F85" s="882">
        <v>80</v>
      </c>
    </row>
    <row r="86" spans="1:6" s="878" customFormat="1" ht="36">
      <c r="A86" s="882">
        <v>26</v>
      </c>
      <c r="B86" s="3277"/>
      <c r="C86" s="818" t="s">
        <v>666</v>
      </c>
      <c r="D86" s="818" t="s">
        <v>667</v>
      </c>
      <c r="E86" s="895">
        <v>0.2</v>
      </c>
      <c r="F86" s="882">
        <v>30</v>
      </c>
    </row>
    <row r="87" spans="1:6" s="878" customFormat="1" ht="36">
      <c r="A87" s="882">
        <v>27</v>
      </c>
      <c r="B87" s="3277"/>
      <c r="C87" s="818" t="s">
        <v>668</v>
      </c>
      <c r="D87" s="818" t="s">
        <v>669</v>
      </c>
      <c r="E87" s="895">
        <v>0.2</v>
      </c>
      <c r="F87" s="882">
        <v>30</v>
      </c>
    </row>
    <row r="88" spans="1:6" s="878" customFormat="1" ht="36">
      <c r="A88" s="882">
        <v>28</v>
      </c>
      <c r="B88" s="3277"/>
      <c r="C88" s="818" t="s">
        <v>670</v>
      </c>
      <c r="D88" s="818" t="s">
        <v>671</v>
      </c>
      <c r="E88" s="895">
        <v>0.2</v>
      </c>
      <c r="F88" s="882">
        <v>30</v>
      </c>
    </row>
    <row r="89" spans="1:6" s="878" customFormat="1" ht="24">
      <c r="A89" s="882">
        <v>29</v>
      </c>
      <c r="B89" s="3277"/>
      <c r="C89" s="818" t="s">
        <v>672</v>
      </c>
      <c r="D89" s="818" t="s">
        <v>673</v>
      </c>
      <c r="E89" s="895">
        <v>0.2</v>
      </c>
      <c r="F89" s="882">
        <v>30</v>
      </c>
    </row>
    <row r="90" spans="1:6" s="878" customFormat="1" ht="24">
      <c r="A90" s="882">
        <v>30</v>
      </c>
      <c r="B90" s="3277"/>
      <c r="C90" s="818" t="s">
        <v>674</v>
      </c>
      <c r="D90" s="818" t="s">
        <v>675</v>
      </c>
      <c r="E90" s="895">
        <v>0.2</v>
      </c>
      <c r="F90" s="882">
        <v>30</v>
      </c>
    </row>
    <row r="91" spans="1:6" s="878" customFormat="1" ht="36">
      <c r="A91" s="882">
        <v>31</v>
      </c>
      <c r="B91" s="3277"/>
      <c r="C91" s="818" t="s">
        <v>676</v>
      </c>
      <c r="D91" s="818" t="s">
        <v>677</v>
      </c>
      <c r="E91" s="895">
        <v>0.2</v>
      </c>
      <c r="F91" s="882">
        <v>30</v>
      </c>
    </row>
    <row r="92" spans="1:6" s="878" customFormat="1" ht="24">
      <c r="A92" s="882">
        <v>32</v>
      </c>
      <c r="B92" s="3277" t="s">
        <v>678</v>
      </c>
      <c r="C92" s="882" t="s">
        <v>679</v>
      </c>
      <c r="D92" s="818" t="s">
        <v>680</v>
      </c>
      <c r="E92" s="895">
        <v>0.2</v>
      </c>
      <c r="F92" s="882">
        <v>30</v>
      </c>
    </row>
    <row r="93" spans="1:6" s="878" customFormat="1" ht="36">
      <c r="A93" s="882">
        <v>33</v>
      </c>
      <c r="B93" s="3277"/>
      <c r="C93" s="882" t="s">
        <v>681</v>
      </c>
      <c r="D93" s="818" t="s">
        <v>682</v>
      </c>
      <c r="E93" s="895">
        <v>0.2</v>
      </c>
      <c r="F93" s="882">
        <v>30</v>
      </c>
    </row>
    <row r="94" spans="1:6" s="878" customFormat="1" ht="48">
      <c r="A94" s="882">
        <v>34</v>
      </c>
      <c r="B94" s="3277"/>
      <c r="C94" s="882" t="s">
        <v>683</v>
      </c>
      <c r="D94" s="818" t="s">
        <v>684</v>
      </c>
      <c r="E94" s="895">
        <v>0.2</v>
      </c>
      <c r="F94" s="882">
        <v>30</v>
      </c>
    </row>
    <row r="95" spans="1:6" s="878" customFormat="1" ht="36">
      <c r="A95" s="882">
        <v>35</v>
      </c>
      <c r="B95" s="3277"/>
      <c r="C95" s="882" t="s">
        <v>685</v>
      </c>
      <c r="D95" s="818" t="s">
        <v>686</v>
      </c>
      <c r="E95" s="895">
        <v>0.2</v>
      </c>
      <c r="F95" s="882">
        <v>30</v>
      </c>
    </row>
    <row r="96" spans="1:6" s="878" customFormat="1" ht="48">
      <c r="A96" s="882">
        <v>36</v>
      </c>
      <c r="B96" s="3277"/>
      <c r="C96" s="818" t="s">
        <v>687</v>
      </c>
      <c r="D96" s="818" t="s">
        <v>688</v>
      </c>
      <c r="E96" s="895">
        <v>0.2</v>
      </c>
      <c r="F96" s="882">
        <v>30</v>
      </c>
    </row>
    <row r="97" spans="1:6" s="878" customFormat="1" ht="36">
      <c r="A97" s="882">
        <v>37</v>
      </c>
      <c r="B97" s="3277"/>
      <c r="C97" s="882" t="s">
        <v>689</v>
      </c>
      <c r="D97" s="818" t="s">
        <v>690</v>
      </c>
      <c r="E97" s="895">
        <v>0.2</v>
      </c>
      <c r="F97" s="882">
        <v>30</v>
      </c>
    </row>
    <row r="98" spans="1:6" s="878" customFormat="1" ht="36">
      <c r="A98" s="882">
        <v>38</v>
      </c>
      <c r="B98" s="3277"/>
      <c r="C98" s="882" t="s">
        <v>691</v>
      </c>
      <c r="D98" s="818" t="s">
        <v>692</v>
      </c>
      <c r="E98" s="895">
        <v>0.2</v>
      </c>
      <c r="F98" s="882">
        <v>30</v>
      </c>
    </row>
    <row r="99" spans="1:6" s="878" customFormat="1" ht="36">
      <c r="A99" s="882">
        <v>39</v>
      </c>
      <c r="B99" s="3277" t="s">
        <v>693</v>
      </c>
      <c r="C99" s="882" t="s">
        <v>694</v>
      </c>
      <c r="D99" s="818" t="s">
        <v>695</v>
      </c>
      <c r="E99" s="895">
        <v>0.3</v>
      </c>
      <c r="F99" s="882">
        <v>50</v>
      </c>
    </row>
    <row r="100" spans="1:6" s="878" customFormat="1" ht="24">
      <c r="A100" s="882">
        <v>40</v>
      </c>
      <c r="B100" s="3277"/>
      <c r="C100" s="882" t="s">
        <v>696</v>
      </c>
      <c r="D100" s="818" t="s">
        <v>697</v>
      </c>
      <c r="E100" s="895">
        <v>0.2</v>
      </c>
      <c r="F100" s="882">
        <v>30</v>
      </c>
    </row>
    <row r="101" spans="1:6" s="878" customFormat="1" ht="36">
      <c r="A101" s="882">
        <v>41</v>
      </c>
      <c r="B101" s="327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7" t="s">
        <v>708</v>
      </c>
      <c r="C105" s="882" t="s">
        <v>709</v>
      </c>
      <c r="D105" s="818" t="s">
        <v>710</v>
      </c>
      <c r="E105" s="895">
        <v>0.2</v>
      </c>
      <c r="F105" s="882">
        <v>30</v>
      </c>
    </row>
    <row r="106" spans="1:6" s="878" customFormat="1" ht="36">
      <c r="A106" s="882">
        <v>46</v>
      </c>
      <c r="B106" s="3277"/>
      <c r="C106" s="882" t="s">
        <v>711</v>
      </c>
      <c r="D106" s="818" t="s">
        <v>712</v>
      </c>
      <c r="E106" s="895">
        <v>0.2</v>
      </c>
      <c r="F106" s="882">
        <v>30</v>
      </c>
    </row>
    <row r="107" spans="1:6" s="878" customFormat="1" ht="36">
      <c r="A107" s="882">
        <v>47</v>
      </c>
      <c r="B107" s="3277" t="s">
        <v>713</v>
      </c>
      <c r="C107" s="882" t="s">
        <v>714</v>
      </c>
      <c r="D107" s="818" t="s">
        <v>715</v>
      </c>
      <c r="E107" s="895">
        <v>0.3</v>
      </c>
      <c r="F107" s="882">
        <v>50</v>
      </c>
    </row>
    <row r="108" spans="1:6" s="878" customFormat="1" ht="36">
      <c r="A108" s="882">
        <v>48</v>
      </c>
      <c r="B108" s="327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7" t="s">
        <v>724</v>
      </c>
      <c r="C111" s="882" t="s">
        <v>725</v>
      </c>
      <c r="D111" s="818" t="s">
        <v>726</v>
      </c>
      <c r="E111" s="895">
        <v>0.2</v>
      </c>
      <c r="F111" s="882">
        <v>30</v>
      </c>
    </row>
    <row r="112" spans="1:6" s="878" customFormat="1" ht="24">
      <c r="A112" s="882">
        <v>52</v>
      </c>
      <c r="B112" s="3277"/>
      <c r="C112" s="882" t="s">
        <v>727</v>
      </c>
      <c r="D112" s="818" t="s">
        <v>728</v>
      </c>
      <c r="E112" s="895">
        <v>0.2</v>
      </c>
      <c r="F112" s="882">
        <v>30</v>
      </c>
    </row>
    <row r="113" spans="1:6" s="878" customFormat="1" ht="24">
      <c r="A113" s="882">
        <v>53</v>
      </c>
      <c r="B113" s="327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7" t="s">
        <v>737</v>
      </c>
      <c r="C116" s="882" t="s">
        <v>738</v>
      </c>
      <c r="D116" s="818" t="s">
        <v>739</v>
      </c>
      <c r="E116" s="895">
        <v>0.2</v>
      </c>
      <c r="F116" s="882">
        <v>30</v>
      </c>
    </row>
    <row r="117" spans="1:6" ht="36">
      <c r="A117" s="882">
        <v>57</v>
      </c>
      <c r="B117" s="327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0.84279999999999999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2999</v>
      </c>
    </row>
    <row r="2" spans="1:5" ht="15.75">
      <c r="A2" s="2901" t="s">
        <v>2991</v>
      </c>
      <c r="B2" s="2902">
        <f ca="1">SUMIF(B6:B13,"&lt;&gt;#ref!",B6:B13)</f>
        <v>12074</v>
      </c>
      <c r="C2" s="2901" t="s">
        <v>2992</v>
      </c>
      <c r="D2" s="2901" t="s">
        <v>2993</v>
      </c>
      <c r="E2" s="2902">
        <f ca="1">SUMIF(E6:E13,"&lt;&gt;#ref!",E6:E13)</f>
        <v>5028.579999999999</v>
      </c>
    </row>
    <row r="3" spans="1:5" ht="15.75">
      <c r="A3" s="2901" t="s">
        <v>2994</v>
      </c>
      <c r="B3" s="2902">
        <f ca="1">ROUND(B2*10000/E2,0)</f>
        <v>24011</v>
      </c>
      <c r="C3" s="2901" t="s">
        <v>3000</v>
      </c>
      <c r="D3" s="2903"/>
      <c r="E3" s="2903"/>
    </row>
    <row r="4" spans="1:5" ht="15.75">
      <c r="A4" s="2904"/>
      <c r="B4" s="2903"/>
      <c r="C4" s="2903"/>
      <c r="D4" s="2903"/>
      <c r="E4" s="2903"/>
    </row>
    <row r="5" spans="1:5" ht="28.5">
      <c r="A5" s="2905" t="s">
        <v>2995</v>
      </c>
      <c r="B5" s="2901" t="s">
        <v>2996</v>
      </c>
      <c r="C5" s="2902"/>
      <c r="D5" s="2903"/>
      <c r="E5" s="2901" t="s">
        <v>2997</v>
      </c>
    </row>
    <row r="6" spans="1:5" ht="15.75">
      <c r="A6" s="2906" t="s">
        <v>2998</v>
      </c>
      <c r="B6" s="2902">
        <f ca="1">SUMIF(INDIRECT("'"&amp;A6&amp;"'"&amp;"!A:A"),"总价",INDIRECT("'"&amp;A6&amp;"'"&amp;"!B:B"))</f>
        <v>12074</v>
      </c>
      <c r="C6" s="2901" t="s">
        <v>2992</v>
      </c>
      <c r="D6" s="2903"/>
      <c r="E6" s="2574">
        <f ca="1">SUMIF(INDIRECT("'"&amp;A6&amp;"'"&amp;"!C:C"),"建筑面积",INDIRECT("'"&amp;A6&amp;"'"&amp;"!D:D"))</f>
        <v>5028.579999999999</v>
      </c>
    </row>
    <row r="7" spans="1:5" ht="15.75">
      <c r="A7" s="2906"/>
      <c r="B7" s="2902" t="e">
        <f ca="1">SUMIF(INDIRECT("'"&amp;A7&amp;"'"&amp;"!A:A"),"总价",INDIRECT("'"&amp;A7&amp;"'"&amp;"!B:B"))</f>
        <v>#REF!</v>
      </c>
      <c r="C7" s="2901" t="s">
        <v>2992</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2992</v>
      </c>
      <c r="D8" s="2903"/>
      <c r="E8" s="2574" t="e">
        <f t="shared" ca="1" si="0"/>
        <v>#REF!</v>
      </c>
    </row>
    <row r="9" spans="1:5" ht="15.75">
      <c r="A9" s="2906"/>
      <c r="B9" s="2902" t="e">
        <f t="shared" ca="1" si="1"/>
        <v>#REF!</v>
      </c>
      <c r="C9" s="2901" t="s">
        <v>2992</v>
      </c>
      <c r="D9" s="2903"/>
      <c r="E9" s="2574" t="e">
        <f t="shared" ca="1" si="0"/>
        <v>#REF!</v>
      </c>
    </row>
    <row r="10" spans="1:5" ht="15.75">
      <c r="A10" s="2906"/>
      <c r="B10" s="2902" t="e">
        <f t="shared" ca="1" si="1"/>
        <v>#REF!</v>
      </c>
      <c r="C10" s="2901" t="s">
        <v>2992</v>
      </c>
      <c r="D10" s="2903"/>
      <c r="E10" s="2574" t="e">
        <f t="shared" ca="1" si="0"/>
        <v>#REF!</v>
      </c>
    </row>
    <row r="11" spans="1:5" ht="15.75">
      <c r="A11" s="2906"/>
      <c r="B11" s="2902" t="e">
        <f t="shared" ca="1" si="1"/>
        <v>#REF!</v>
      </c>
      <c r="C11" s="2901" t="s">
        <v>2992</v>
      </c>
      <c r="D11" s="2903"/>
      <c r="E11" s="2574" t="e">
        <f t="shared" ca="1" si="0"/>
        <v>#REF!</v>
      </c>
    </row>
    <row r="12" spans="1:5" ht="15.75">
      <c r="A12" s="2906"/>
      <c r="B12" s="2902" t="e">
        <f t="shared" ca="1" si="1"/>
        <v>#REF!</v>
      </c>
      <c r="C12" s="2901" t="s">
        <v>2992</v>
      </c>
      <c r="D12" s="2903"/>
      <c r="E12" s="2574" t="e">
        <f t="shared" ca="1" si="0"/>
        <v>#REF!</v>
      </c>
    </row>
    <row r="13" spans="1:5" ht="15.75">
      <c r="A13" s="2906"/>
      <c r="B13" s="2902" t="e">
        <f t="shared" ca="1" si="1"/>
        <v>#REF!</v>
      </c>
      <c r="C13" s="2901" t="s">
        <v>2992</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3" sqref="B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3" t="s">
        <v>1146</v>
      </c>
      <c r="C1" s="3283"/>
      <c r="D1" s="3283"/>
      <c r="E1" s="3283"/>
      <c r="F1" s="3283"/>
      <c r="G1" s="3282" t="s">
        <v>1147</v>
      </c>
      <c r="H1" s="3282"/>
      <c r="I1" s="3282"/>
      <c r="J1" s="3282"/>
      <c r="K1" s="3282"/>
      <c r="L1" s="3282"/>
      <c r="N1" s="3282" t="s">
        <v>1148</v>
      </c>
      <c r="O1" s="3282"/>
      <c r="P1" s="3282"/>
      <c r="Q1" s="3282"/>
      <c r="R1" s="1446"/>
      <c r="S1" s="3282" t="s">
        <v>1149</v>
      </c>
      <c r="T1" s="3282"/>
      <c r="U1" s="3282"/>
      <c r="V1" s="3282"/>
      <c r="X1" s="3281" t="s">
        <v>1150</v>
      </c>
      <c r="Y1" s="3282"/>
      <c r="Z1" s="3282"/>
      <c r="AA1" s="3282"/>
      <c r="AB1" s="3282"/>
      <c r="AD1" s="3281" t="s">
        <v>1151</v>
      </c>
      <c r="AE1" s="3282"/>
      <c r="AF1" s="3282"/>
      <c r="AG1" s="3282"/>
      <c r="AH1" s="3282"/>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7" customFormat="1" ht="14.25">
      <c r="A3" s="2926" t="s">
        <v>3034</v>
      </c>
      <c r="B3" s="2918"/>
      <c r="C3" s="2918"/>
      <c r="D3" s="2919"/>
      <c r="E3" s="2919"/>
      <c r="F3" s="2918"/>
      <c r="G3" s="2920"/>
      <c r="H3" s="2921"/>
      <c r="I3" s="2922">
        <f>ROUND(AVERAGE($I4:$I28),2)</f>
        <v>1.98</v>
      </c>
      <c r="J3" s="2922">
        <f>ROUND(AVERAGE($J4:$J28),2)</f>
        <v>1.41</v>
      </c>
      <c r="K3" s="2922">
        <f>ROUND(AVERAGE($K4:$K28),2)</f>
        <v>2.16</v>
      </c>
      <c r="L3" s="2922">
        <f>ROUND(AVERAGE($L4:$L28),2)</f>
        <v>1.38</v>
      </c>
      <c r="N3" s="2920"/>
      <c r="O3" s="2923"/>
      <c r="P3" s="2923"/>
      <c r="Q3" s="2923"/>
      <c r="R3" s="2923"/>
      <c r="S3" s="2920"/>
      <c r="T3" s="2923"/>
      <c r="U3" s="2923"/>
      <c r="V3" s="2923"/>
      <c r="W3" s="2915"/>
      <c r="X3" s="2924">
        <f>ROUND(SUMPRODUCT(PRODUCT(1+N3:N$27)),4)</f>
        <v>1.5516000000000001</v>
      </c>
      <c r="Y3" s="2924">
        <f>ROUND(SUMPRODUCT(PRODUCT(1+O3:O$27)),4)</f>
        <v>1.3649</v>
      </c>
      <c r="Z3" s="2924">
        <f t="shared" ref="Z3:Z25" si="0">Y3</f>
        <v>1.3649</v>
      </c>
      <c r="AA3" s="2924">
        <f>ROUND(SUMPRODUCT(PRODUCT(1+P3:P$27)),4)</f>
        <v>1.6133999999999999</v>
      </c>
      <c r="AB3" s="2924">
        <f>ROUND(SUMPRODUCT(PRODUCT(1+Q3:Q$27)),4)</f>
        <v>1.3713</v>
      </c>
      <c r="AD3" s="2925">
        <f>ROUND(AVERAGE(I3:I$28)/100,4)</f>
        <v>1.9800000000000002E-2</v>
      </c>
      <c r="AE3" s="2925">
        <f>ROUND(AVERAGE(J3:J$28)/100,4)</f>
        <v>1.41E-2</v>
      </c>
      <c r="AF3" s="2925">
        <f t="shared" ref="AF3:AF26" si="1">AE3</f>
        <v>1.41E-2</v>
      </c>
      <c r="AG3" s="2925">
        <f>ROUND(AVERAGE(K3:K$28)/100,4)</f>
        <v>2.1600000000000001E-2</v>
      </c>
      <c r="AH3" s="2925">
        <f>ROUND(AVERAGE(L3:L$28)/100,4)</f>
        <v>1.38E-2</v>
      </c>
    </row>
    <row r="4" spans="1:34" s="1453" customFormat="1" ht="14.25">
      <c r="B4" s="1454"/>
      <c r="C4" s="1454"/>
      <c r="D4" s="1455"/>
      <c r="E4" s="1455"/>
      <c r="F4" s="1454"/>
      <c r="G4" s="1456"/>
      <c r="H4" s="1457"/>
      <c r="I4" s="2912"/>
      <c r="J4" s="2912"/>
      <c r="K4" s="2912"/>
      <c r="L4" s="2912"/>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3052</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49">
        <v>2019</v>
      </c>
      <c r="H5" s="1730">
        <v>4</v>
      </c>
      <c r="I5" s="2913">
        <v>0</v>
      </c>
      <c r="J5" s="2913">
        <v>0</v>
      </c>
      <c r="K5" s="2913">
        <v>0</v>
      </c>
      <c r="L5" s="2913">
        <v>0</v>
      </c>
      <c r="N5" s="1467">
        <f t="shared" ref="N5:N10" si="7">I5/100</f>
        <v>0</v>
      </c>
      <c r="O5" s="1467">
        <f t="shared" ref="O5" si="8">J5/100</f>
        <v>0</v>
      </c>
      <c r="P5" s="1467">
        <f t="shared" ref="P5" si="9">K5/100</f>
        <v>0</v>
      </c>
      <c r="Q5" s="1467">
        <f t="shared" ref="Q5" si="10">L5/100</f>
        <v>0</v>
      </c>
      <c r="R5" s="1732"/>
      <c r="S5" s="1733"/>
      <c r="T5" s="1732"/>
      <c r="U5" s="1732"/>
      <c r="V5" s="1732"/>
      <c r="W5" s="2916" t="s">
        <v>3035</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3051</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49">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3049</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5">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3047</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0">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3050</v>
      </c>
      <c r="B9" s="2946">
        <f t="shared" ref="B9" si="46">B10*(1+N9)</f>
        <v>464.37293017158942</v>
      </c>
      <c r="C9" s="2946">
        <f t="shared" ref="C9" si="47">C10*(1+O9)</f>
        <v>344.73679941385956</v>
      </c>
      <c r="D9" s="2946">
        <f t="shared" ref="D9" si="48">C9</f>
        <v>344.73679941385956</v>
      </c>
      <c r="E9" s="2946">
        <f t="shared" ref="E9" si="49">E10*(1+P9)</f>
        <v>663.2377795103107</v>
      </c>
      <c r="F9" s="2947">
        <f t="shared" ref="F9" si="50">F10*(1+Q9)</f>
        <v>304.75936311478398</v>
      </c>
      <c r="G9" s="3279">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3041</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79"/>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3040</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79"/>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3033</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88"/>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3030</v>
      </c>
      <c r="B13" s="1469">
        <v>439</v>
      </c>
      <c r="C13" s="1469">
        <v>327</v>
      </c>
      <c r="D13" s="1469">
        <f>C13</f>
        <v>327</v>
      </c>
      <c r="E13" s="1469">
        <v>627</v>
      </c>
      <c r="F13" s="1470">
        <v>283</v>
      </c>
      <c r="G13" s="3284">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3031</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79"/>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79"/>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88"/>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84">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79"/>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79"/>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80"/>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78">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79"/>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79"/>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80"/>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78">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79"/>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79"/>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80"/>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85">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86"/>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86"/>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87"/>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78">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79"/>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79"/>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80"/>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78">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79">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79">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80">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78">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79">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79">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80">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78">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79">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79">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80">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78">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79">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79">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80">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78">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79">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79">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80">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78">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79">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79">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80">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78">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79">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79">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80">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78">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79">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79">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80">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78">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79">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79">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80">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78">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79">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79">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80">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290" t="s">
        <v>3002</v>
      </c>
      <c r="D1" s="3291"/>
      <c r="E1" s="3291"/>
      <c r="F1" s="3291"/>
      <c r="G1" s="3291"/>
      <c r="H1" s="3291"/>
      <c r="I1" s="3291"/>
      <c r="J1" s="3291"/>
      <c r="K1" s="3291"/>
      <c r="L1" s="3291"/>
      <c r="M1" s="3291"/>
      <c r="N1" s="3291"/>
      <c r="O1" s="3291"/>
      <c r="P1" s="3291"/>
      <c r="Q1" s="3291"/>
      <c r="R1" s="3291"/>
      <c r="S1" s="3292"/>
      <c r="T1" s="1204" t="s">
        <v>3003</v>
      </c>
    </row>
    <row r="2" spans="1:45" s="707" customFormat="1">
      <c r="A2" s="1205"/>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7" t="s">
        <v>3011</v>
      </c>
      <c r="B17" s="2908"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9" t="s">
        <v>3013</v>
      </c>
      <c r="E19" s="1792"/>
      <c r="F19" s="1792"/>
      <c r="G19" s="1792"/>
      <c r="H19" s="1280"/>
      <c r="I19" s="168"/>
      <c r="J19" s="168"/>
      <c r="K19" s="168"/>
      <c r="L19" s="168"/>
      <c r="M19" s="168"/>
      <c r="N19" s="168"/>
      <c r="O19" s="168"/>
      <c r="P19" s="168"/>
      <c r="Q19" s="168"/>
      <c r="R19" s="788"/>
      <c r="S19" s="138"/>
    </row>
    <row r="20" spans="1:45" ht="16.5" thickBot="1">
      <c r="A20" s="715" t="s">
        <v>3014</v>
      </c>
      <c r="B20" s="338" t="e">
        <f ca="1">IF(D20="——",S22,S22-F20)</f>
        <v>#REF!</v>
      </c>
      <c r="C20" s="168"/>
      <c r="D20" s="2910" t="s">
        <v>3015</v>
      </c>
      <c r="E20" s="1793"/>
      <c r="F20" s="1204" t="e">
        <f ca="1">SUMIF(INDIRECT("'"&amp;H20&amp;"'"&amp;"!A:A"),"承租人权益价值",INDIRECT("'"&amp;H20&amp;"'"&amp;"!c:c"))</f>
        <v>#REF!</v>
      </c>
      <c r="G20" s="1204" t="s">
        <v>3016</v>
      </c>
      <c r="H20" s="2911"/>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147" t="s">
        <v>33</v>
      </c>
      <c r="D22" s="3148"/>
      <c r="E22" s="3148"/>
      <c r="F22" s="3148"/>
      <c r="G22" s="3148"/>
      <c r="H22" s="3148"/>
      <c r="I22" s="3148"/>
      <c r="J22" s="3148"/>
      <c r="K22" s="3148"/>
      <c r="L22" s="3148"/>
      <c r="M22" s="3148"/>
      <c r="N22" s="3148"/>
      <c r="O22" s="3148"/>
      <c r="P22" s="3148"/>
      <c r="Q22" s="3289"/>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29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1"/>
      <c r="C2" s="2971"/>
      <c r="D2" s="2971"/>
      <c r="E2" s="2971"/>
    </row>
    <row r="3" spans="1:5" ht="18">
      <c r="A3" s="2972" t="str">
        <f>IF(项目基本情况!B9="房地产市场价值","估价结果一览表（市场价值不需“结果表-1”）","估价结果一览表")</f>
        <v>估价结果一览表</v>
      </c>
      <c r="B3" s="2972"/>
      <c r="C3" s="2972"/>
      <c r="D3" s="2972"/>
      <c r="E3" s="2972"/>
    </row>
    <row r="4" spans="1:5" ht="19.5" thickBot="1">
      <c r="A4" s="1960"/>
      <c r="B4" s="2970" t="s">
        <v>1624</v>
      </c>
      <c r="C4" s="2970"/>
      <c r="D4" s="2970"/>
      <c r="E4" s="1960"/>
    </row>
    <row r="5" spans="1:5" ht="16.5" thickTop="1">
      <c r="A5" s="1958"/>
      <c r="B5" s="2968" t="s">
        <v>1616</v>
      </c>
      <c r="C5" s="1961" t="s">
        <v>1617</v>
      </c>
      <c r="D5" s="1040">
        <f ca="1">结果表!H101</f>
        <v>17160</v>
      </c>
      <c r="E5" s="1958"/>
    </row>
    <row r="6" spans="1:5" ht="15.75">
      <c r="A6" s="1958"/>
      <c r="B6" s="2968"/>
      <c r="C6" s="1961" t="s">
        <v>1618</v>
      </c>
      <c r="D6" s="1040" t="str">
        <f ca="1">NUMBERSTRING(INT(D5*10000),2)&amp;"元整"</f>
        <v>壹亿柒仟壹佰陆拾万元整</v>
      </c>
      <c r="E6" s="1958"/>
    </row>
    <row r="7" spans="1:5" ht="15.75">
      <c r="A7" s="1958"/>
      <c r="B7" s="2973"/>
      <c r="C7" s="1962" t="s">
        <v>1619</v>
      </c>
      <c r="D7" s="1041">
        <f ca="1">结果表!H102</f>
        <v>34125</v>
      </c>
      <c r="E7" s="1958"/>
    </row>
    <row r="8" spans="1:5" ht="15.75">
      <c r="A8" s="1958"/>
      <c r="B8" s="2974" t="str">
        <f>结果表!E103</f>
        <v>2.估价师知悉的法定优先受偿款</v>
      </c>
      <c r="C8" s="1963" t="s">
        <v>1620</v>
      </c>
      <c r="D8" s="1041">
        <f>结果表!H103</f>
        <v>0</v>
      </c>
      <c r="E8" s="1958"/>
    </row>
    <row r="9" spans="1:5" ht="15.75">
      <c r="A9" s="1958"/>
      <c r="B9" s="2976"/>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2967" t="str">
        <f>结果表!E107</f>
        <v>3.房地产抵押价值</v>
      </c>
      <c r="C13" s="1966" t="s">
        <v>1617</v>
      </c>
      <c r="D13" s="1043">
        <f ca="1">结果表!H107</f>
        <v>17160</v>
      </c>
      <c r="E13" s="1958"/>
    </row>
    <row r="14" spans="1:5" ht="15.75">
      <c r="A14" s="1958"/>
      <c r="B14" s="2968"/>
      <c r="C14" s="1961" t="s">
        <v>1618</v>
      </c>
      <c r="D14" s="1040" t="str">
        <f ca="1">NUMBERSTRING(INT(D13*10000),2)&amp;"元整"</f>
        <v>壹亿柒仟壹佰陆拾万元整</v>
      </c>
      <c r="E14" s="1958"/>
    </row>
    <row r="15" spans="1:5" ht="15">
      <c r="A15" s="1958"/>
      <c r="B15" s="2973"/>
      <c r="C15" s="1962" t="s">
        <v>1628</v>
      </c>
      <c r="D15" s="1052">
        <f ca="1">结果表!H108</f>
        <v>34125</v>
      </c>
      <c r="E15" s="1958"/>
    </row>
    <row r="16" spans="1:5" ht="15">
      <c r="A16" s="1958"/>
      <c r="B16" s="2974" t="str">
        <f>结果表!E109</f>
        <v>——</v>
      </c>
      <c r="C16" s="1966" t="s">
        <v>1629</v>
      </c>
      <c r="D16" s="1967" t="str">
        <f>结果表!H109</f>
        <v>——</v>
      </c>
      <c r="E16" s="1958"/>
    </row>
    <row r="17" spans="1:5" ht="15.75">
      <c r="A17" s="1958"/>
      <c r="B17" s="2975"/>
      <c r="C17" s="1961" t="s">
        <v>1630</v>
      </c>
      <c r="D17" s="1040" t="e">
        <f>NUMBERSTRING(INT(D16*10000),2)&amp;"元整"</f>
        <v>#VALUE!</v>
      </c>
      <c r="E17" s="1958"/>
    </row>
    <row r="18" spans="1:5" ht="15">
      <c r="A18" s="1958"/>
      <c r="B18" s="2976"/>
      <c r="C18" s="1962" t="s">
        <v>1619</v>
      </c>
      <c r="D18" s="1052" t="str">
        <f>结果表!H110</f>
        <v>——</v>
      </c>
      <c r="E18" s="1958"/>
    </row>
    <row r="19" spans="1:5" ht="15.75">
      <c r="A19" s="1958"/>
      <c r="B19" s="2967" t="str">
        <f>结果表!E111</f>
        <v>——</v>
      </c>
      <c r="C19" s="1966" t="s">
        <v>1617</v>
      </c>
      <c r="D19" s="1041" t="str">
        <f>结果表!H111</f>
        <v>——</v>
      </c>
      <c r="E19" s="1958"/>
    </row>
    <row r="20" spans="1:5" ht="15.75">
      <c r="A20" s="1958"/>
      <c r="B20" s="2968"/>
      <c r="C20" s="1961" t="s">
        <v>1630</v>
      </c>
      <c r="D20" s="1040" t="e">
        <f>NUMBERSTRING(INT(D19*10000),2)&amp;"元整"</f>
        <v>#VALUE!</v>
      </c>
      <c r="E20" s="1958"/>
    </row>
    <row r="21" spans="1:5" ht="15.75" thickBot="1">
      <c r="A21" s="1958"/>
      <c r="B21" s="2969"/>
      <c r="C21" s="1968" t="s">
        <v>1628</v>
      </c>
      <c r="D21" s="1053" t="str">
        <f>结果表!H112</f>
        <v>——</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30155</v>
      </c>
      <c r="C2" s="2" t="s">
        <v>133</v>
      </c>
      <c r="D2" s="243"/>
      <c r="E2" s="243"/>
      <c r="F2" s="243"/>
      <c r="G2" s="243"/>
    </row>
    <row r="3" spans="1:7" s="244" customFormat="1" ht="18" customHeight="1" thickBot="1">
      <c r="A3" s="247" t="s">
        <v>85</v>
      </c>
      <c r="B3" s="248">
        <f ca="1">ROUND(B2*10000/'数据-汇总表'!E3,0)</f>
        <v>59967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101</v>
      </c>
      <c r="D10" s="1032">
        <f>'数据-汇总表'!E6</f>
        <v>5028.579999999999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101</v>
      </c>
      <c r="D19" s="1036">
        <f>'数据-汇总表'!E3</f>
        <v>5028.579999999999</v>
      </c>
      <c r="E19" s="255">
        <f>'数据-取费表'!B31</f>
        <v>200</v>
      </c>
      <c r="F19" s="275"/>
      <c r="G19" s="1" t="s">
        <v>1071</v>
      </c>
    </row>
    <row r="20" spans="1:7" s="258" customFormat="1" ht="13.5" customHeight="1">
      <c r="A20" s="948" t="s">
        <v>1054</v>
      </c>
      <c r="B20" s="254" t="s">
        <v>104</v>
      </c>
      <c r="C20" s="276">
        <f>ROUND((C5+C19)*F20,0)</f>
        <v>207</v>
      </c>
      <c r="D20" s="276"/>
      <c r="E20" s="276"/>
      <c r="F20" s="277">
        <f>'数据-取费表'!B37</f>
        <v>0.01</v>
      </c>
      <c r="G20" s="1289" t="s">
        <v>1065</v>
      </c>
    </row>
    <row r="21" spans="1:7" s="258" customFormat="1" ht="13.5" customHeight="1">
      <c r="A21" s="948" t="s">
        <v>1056</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1500</v>
      </c>
      <c r="D22" s="279">
        <f ca="1">C26</f>
        <v>4.0000000000000002E-4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7</v>
      </c>
      <c r="D24" s="282"/>
      <c r="E24" s="282"/>
      <c r="F24" s="283"/>
      <c r="G24" s="284" t="s">
        <v>109</v>
      </c>
    </row>
    <row r="25" spans="1:7" s="258" customFormat="1" ht="24">
      <c r="A25" s="951" t="s">
        <v>793</v>
      </c>
      <c r="B25" s="259" t="s">
        <v>1055</v>
      </c>
      <c r="C25" s="1355">
        <f ca="1">ROUND(IF('数据-取费表'!B22&lt;=1,C20*F22*'数据-取费表'!B23/2,C20*(POWER((1+F22),'数据-取费表'!B23/2)-1)),0)</f>
        <v>7</v>
      </c>
      <c r="D25" s="282"/>
      <c r="E25" s="285"/>
      <c r="F25" s="283"/>
      <c r="G25" s="286" t="s">
        <v>110</v>
      </c>
    </row>
    <row r="26" spans="1:7" s="258" customFormat="1">
      <c r="A26" s="951" t="s">
        <v>795</v>
      </c>
      <c r="B26" s="259" t="s">
        <v>1057</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4184</v>
      </c>
      <c r="D27" s="279">
        <f>C29</f>
        <v>2E-3</v>
      </c>
      <c r="E27" s="280" t="s">
        <v>126</v>
      </c>
      <c r="F27" s="290">
        <f>'数据-取费表'!Q16</f>
        <v>0.2</v>
      </c>
      <c r="G27" s="291" t="s">
        <v>1066</v>
      </c>
    </row>
    <row r="28" spans="1:7" s="258" customFormat="1" ht="13.5" customHeight="1">
      <c r="A28" s="951" t="s">
        <v>794</v>
      </c>
      <c r="B28" s="292" t="s">
        <v>1059</v>
      </c>
      <c r="C28" s="293">
        <f>ROUND((C5+C19+C20)*F27*'数据-取费表'!B21/'数据-取费表'!B20,0)</f>
        <v>4184</v>
      </c>
      <c r="D28" s="279"/>
      <c r="E28" s="280"/>
      <c r="F28" s="290"/>
      <c r="G28" s="291"/>
    </row>
    <row r="29" spans="1:7" s="258" customFormat="1" ht="13.5" customHeight="1">
      <c r="A29" s="951" t="s">
        <v>792</v>
      </c>
      <c r="B29" s="292" t="s">
        <v>1060</v>
      </c>
      <c r="C29" s="282">
        <f>ROUND(C21*F27*'数据-取费表'!B21/'数据-取费表'!B20,4)</f>
        <v>2E-3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28474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1678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1509</v>
      </c>
      <c r="D34" s="261"/>
      <c r="E34" s="264"/>
      <c r="F34" s="301">
        <f>IF('数据-取费表'!B24=0,1,'数据-取费表'!N16)</f>
        <v>1</v>
      </c>
      <c r="G34" s="263" t="s">
        <v>116</v>
      </c>
    </row>
    <row r="35" spans="1:7" ht="13.5" customHeight="1">
      <c r="A35" s="951" t="s">
        <v>796</v>
      </c>
      <c r="B35" s="259" t="s">
        <v>60</v>
      </c>
      <c r="C35" s="264">
        <f>ROUND(C34*F35,0)</f>
        <v>45</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101</v>
      </c>
      <c r="D37" s="261">
        <f>'数据-汇总表'!E3</f>
        <v>5028.579999999999</v>
      </c>
      <c r="E37" s="293">
        <f>'数据-取费表'!B35</f>
        <v>200</v>
      </c>
      <c r="F37" s="303"/>
      <c r="G37" s="305" t="s">
        <v>119</v>
      </c>
    </row>
    <row r="38" spans="1:7" ht="13.5" customHeight="1">
      <c r="A38" s="951" t="s">
        <v>799</v>
      </c>
      <c r="B38" s="259" t="s">
        <v>63</v>
      </c>
      <c r="C38" s="264">
        <f>ROUND(C34*F38,0)</f>
        <v>23</v>
      </c>
      <c r="D38" s="264"/>
      <c r="E38" s="264"/>
      <c r="F38" s="303">
        <f>'数据-取费表'!B36</f>
        <v>1.4999999999999999E-2</v>
      </c>
      <c r="G38" s="263" t="s">
        <v>117</v>
      </c>
    </row>
    <row r="39" spans="1:7" s="258" customFormat="1" ht="13.5" customHeight="1">
      <c r="A39" s="948" t="s">
        <v>783</v>
      </c>
      <c r="B39" s="254" t="s">
        <v>104</v>
      </c>
      <c r="C39" s="276">
        <f>ROUND(C33*F20,0)</f>
        <v>17</v>
      </c>
      <c r="D39" s="276"/>
      <c r="E39" s="276"/>
      <c r="F39" s="277"/>
      <c r="G39" s="1289" t="s">
        <v>1068</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60</v>
      </c>
      <c r="D41" s="279">
        <f ca="1">C44</f>
        <v>4.0000000000000002E-4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59</v>
      </c>
      <c r="D42" s="282"/>
      <c r="E42" s="282"/>
      <c r="F42" s="283"/>
      <c r="G42" s="3152" t="s">
        <v>121</v>
      </c>
    </row>
    <row r="43" spans="1:7" ht="13.5" customHeight="1">
      <c r="A43" s="951" t="s">
        <v>792</v>
      </c>
      <c r="B43" s="259" t="s">
        <v>1061</v>
      </c>
      <c r="C43" s="282">
        <f ca="1">ROUND(IF('数据-取费表'!B22&lt;=1,C39*F22*'数据-取费表'!B21/2,C39*(POWER((1+F22),'数据-取费表'!B21/2)-1)),0)</f>
        <v>1</v>
      </c>
      <c r="D43" s="282"/>
      <c r="E43" s="282"/>
      <c r="F43" s="283"/>
      <c r="G43" s="3153"/>
    </row>
    <row r="44" spans="1:7" ht="13.5" customHeight="1">
      <c r="A44" s="951" t="s">
        <v>793</v>
      </c>
      <c r="B44" s="259" t="s">
        <v>1063</v>
      </c>
      <c r="C44" s="282">
        <f ca="1">ROUND(IF('数据-取费表'!B22&lt;=1,C40*F22*'数据-取费表'!B21/2,C40*(POWER((1+F22),'数据-取费表'!B21/2)-1)),4)</f>
        <v>4.0000000000000002E-4</v>
      </c>
      <c r="D44" s="282"/>
      <c r="E44" s="282"/>
      <c r="F44" s="283"/>
      <c r="G44" s="3154"/>
    </row>
    <row r="45" spans="1:7" s="258" customFormat="1" ht="13.5" customHeight="1">
      <c r="A45" s="948" t="s">
        <v>786</v>
      </c>
      <c r="B45" s="288" t="s">
        <v>112</v>
      </c>
      <c r="C45" s="289">
        <f>C46</f>
        <v>339</v>
      </c>
      <c r="D45" s="279">
        <f>C47</f>
        <v>2E-3</v>
      </c>
      <c r="E45" s="280" t="s">
        <v>129</v>
      </c>
      <c r="F45" s="290"/>
      <c r="G45" s="291" t="s">
        <v>1069</v>
      </c>
    </row>
    <row r="46" spans="1:7" s="258" customFormat="1" ht="13.5" customHeight="1">
      <c r="A46" s="951" t="s">
        <v>794</v>
      </c>
      <c r="B46" s="292" t="s">
        <v>1062</v>
      </c>
      <c r="C46" s="293">
        <f>ROUND((C33+C39)*F27,0)</f>
        <v>339</v>
      </c>
      <c r="D46" s="307"/>
      <c r="E46" s="280"/>
      <c r="F46" s="290"/>
      <c r="G46" s="291"/>
    </row>
    <row r="47" spans="1:7" s="258" customFormat="1" ht="13.5" customHeight="1">
      <c r="A47" s="951" t="s">
        <v>792</v>
      </c>
      <c r="B47" s="292" t="s">
        <v>1064</v>
      </c>
      <c r="C47" s="282">
        <f>ROUND(C40*F27,4)</f>
        <v>2E-3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2241</v>
      </c>
      <c r="D49" s="276"/>
      <c r="E49" s="276"/>
      <c r="F49" s="308"/>
      <c r="G49" s="278" t="s">
        <v>1070</v>
      </c>
    </row>
    <row r="50" spans="1:7" s="302" customFormat="1" ht="24">
      <c r="A50" s="948" t="s">
        <v>789</v>
      </c>
      <c r="B50" s="254" t="s">
        <v>124</v>
      </c>
      <c r="C50" s="276"/>
      <c r="D50" s="276"/>
      <c r="E50" s="276"/>
      <c r="F50" s="308">
        <f>IF('数据-取费表'!B24=0,'数据-取费表'!N16,1)</f>
        <v>0.75</v>
      </c>
      <c r="G50" s="291" t="s">
        <v>125</v>
      </c>
    </row>
    <row r="51" spans="1:7" ht="16.5" customHeight="1">
      <c r="A51" s="948" t="s">
        <v>790</v>
      </c>
      <c r="B51" s="254" t="s">
        <v>132</v>
      </c>
      <c r="C51" s="276">
        <f ca="1">ROUND(C49*F50,0)</f>
        <v>1681</v>
      </c>
      <c r="D51" s="276"/>
      <c r="E51" s="276"/>
      <c r="F51" s="308"/>
      <c r="G51" s="278" t="s">
        <v>64</v>
      </c>
    </row>
    <row r="52" spans="1:7" s="252" customFormat="1" ht="16.5" thickBot="1">
      <c r="A52" s="309" t="s">
        <v>65</v>
      </c>
      <c r="B52" s="310"/>
      <c r="C52" s="311">
        <f ca="1">C31+C51</f>
        <v>30155</v>
      </c>
      <c r="D52" s="310"/>
      <c r="E52" s="310"/>
      <c r="F52" s="310"/>
      <c r="G52" s="312"/>
    </row>
    <row r="55" spans="1:7" ht="15">
      <c r="B55" s="314" t="s">
        <v>66</v>
      </c>
      <c r="C55" s="315"/>
    </row>
    <row r="56" spans="1:7">
      <c r="B56" s="317" t="s">
        <v>67</v>
      </c>
      <c r="C56" s="318">
        <f ca="1">ROUND(C51/C52,3)</f>
        <v>5.6000000000000001E-2</v>
      </c>
    </row>
    <row r="57" spans="1:7">
      <c r="B57" s="317" t="s">
        <v>68</v>
      </c>
      <c r="C57" s="319">
        <f ca="1">1-C56</f>
        <v>0.94399999999999995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3" t="s">
        <v>156</v>
      </c>
      <c r="B1" s="3293"/>
      <c r="C1" s="3293"/>
      <c r="D1" s="3293"/>
      <c r="E1" s="3293"/>
      <c r="F1" s="329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4" t="s">
        <v>169</v>
      </c>
      <c r="B2" s="3294"/>
      <c r="C2" s="3294"/>
      <c r="D2" s="3294"/>
      <c r="E2" s="3294"/>
      <c r="F2" s="329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3" t="s">
        <v>868</v>
      </c>
      <c r="B1" s="3293"/>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43774</v>
      </c>
      <c r="D1" s="1700" t="s">
        <v>1297</v>
      </c>
      <c r="E1" s="1695">
        <f>'数据-取费表'!B22</f>
        <v>1.5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P27" sqref="P27"/>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6" t="str">
        <f>IF(项目基本情况!B9="房地产市场价值","估价结果一览表","结果表-2")</f>
        <v>结果表-2</v>
      </c>
      <c r="B1" s="2986"/>
      <c r="C1" s="2986"/>
      <c r="D1" s="2986"/>
      <c r="E1" s="2986"/>
      <c r="F1" s="2986"/>
      <c r="G1" s="2986"/>
      <c r="H1" s="2986"/>
      <c r="I1" s="2986"/>
    </row>
    <row r="2" spans="1:9" ht="30" customHeight="1" thickTop="1">
      <c r="A2" s="2987" t="s">
        <v>1635</v>
      </c>
      <c r="B2" s="2987" t="s">
        <v>1636</v>
      </c>
      <c r="C2" s="2987" t="s">
        <v>1637</v>
      </c>
      <c r="D2" s="2987" t="str">
        <f>结果表!D116</f>
        <v>出让国有建设用地使用权价值</v>
      </c>
      <c r="E2" s="2987"/>
      <c r="F2" s="2987" t="str">
        <f>结果表!F116</f>
        <v>在建建筑物价值</v>
      </c>
      <c r="G2" s="2987"/>
      <c r="H2" s="2987" t="str">
        <f>IF(项目基本情况!B9="房地产市场价值","房地产市场价值","房地产价值")</f>
        <v>房地产价值</v>
      </c>
      <c r="I2" s="2987"/>
    </row>
    <row r="3" spans="1:9" ht="15">
      <c r="A3" s="2981"/>
      <c r="B3" s="2981"/>
      <c r="C3" s="2981"/>
      <c r="D3" s="1044" t="s">
        <v>1632</v>
      </c>
      <c r="E3" s="1044" t="s">
        <v>1638</v>
      </c>
      <c r="F3" s="1044" t="s">
        <v>1632</v>
      </c>
      <c r="G3" s="1044" t="s">
        <v>1633</v>
      </c>
      <c r="H3" s="1044" t="s">
        <v>1632</v>
      </c>
      <c r="I3" s="1044" t="s">
        <v>1633</v>
      </c>
    </row>
    <row r="4" spans="1:9" ht="30">
      <c r="A4" s="1972" t="str">
        <f>项目基本情况!S2</f>
        <v>北京市海淀区中关村大街18号五层部分综合用房房地产</v>
      </c>
      <c r="B4" s="1044">
        <f>项目基本情况!C17</f>
        <v>5028.579999999999</v>
      </c>
      <c r="C4" s="1044">
        <f>项目基本情况!C18</f>
        <v>563.73</v>
      </c>
      <c r="D4" s="1044">
        <f ca="1">结果表!D118</f>
        <v>15633</v>
      </c>
      <c r="E4" s="1044">
        <f ca="1">结果表!E118</f>
        <v>31088</v>
      </c>
      <c r="F4" s="1044">
        <f ca="1">结果表!F118</f>
        <v>1527</v>
      </c>
      <c r="G4" s="1044">
        <f ca="1">结果表!G118</f>
        <v>3037</v>
      </c>
      <c r="H4" s="1044">
        <f ca="1">结果表!H118</f>
        <v>17160</v>
      </c>
      <c r="I4" s="1044">
        <f ca="1">结果表!I118</f>
        <v>34125</v>
      </c>
    </row>
    <row r="5" spans="1:9" ht="30" customHeight="1">
      <c r="A5" s="2981" t="s">
        <v>1634</v>
      </c>
      <c r="B5" s="2981"/>
      <c r="C5" s="2981"/>
      <c r="D5" s="2982" t="str">
        <f ca="1">结果表!D119</f>
        <v>壹亿伍仟陆佰叁拾叁万元整</v>
      </c>
      <c r="E5" s="2982"/>
      <c r="F5" s="2982" t="str">
        <f ca="1">结果表!F119</f>
        <v>壹仟伍佰贰拾柒万元整</v>
      </c>
      <c r="G5" s="2982"/>
      <c r="H5" s="2982" t="str">
        <f ca="1">结果表!H119</f>
        <v>壹亿柒仟壹佰陆拾万元整</v>
      </c>
      <c r="I5" s="2982"/>
    </row>
    <row r="6" spans="1:9" ht="15.75">
      <c r="A6" s="2980" t="str">
        <f>结果表!A120</f>
        <v>估价师知悉的法定优先受偿款</v>
      </c>
      <c r="B6" s="2980"/>
      <c r="C6" s="2980"/>
      <c r="D6" s="2980">
        <f>结果表!D120</f>
        <v>0</v>
      </c>
      <c r="E6" s="2980"/>
      <c r="F6" s="2980"/>
      <c r="G6" s="2980"/>
      <c r="H6" s="2980"/>
      <c r="I6" s="2980"/>
    </row>
    <row r="7" spans="1:9" ht="15">
      <c r="A7" s="2981" t="s">
        <v>1634</v>
      </c>
      <c r="B7" s="2981"/>
      <c r="C7" s="2981"/>
      <c r="D7" s="2983" t="str">
        <f>结果表!D121</f>
        <v>零元整</v>
      </c>
      <c r="E7" s="2984"/>
      <c r="F7" s="2984"/>
      <c r="G7" s="2984"/>
      <c r="H7" s="2984"/>
      <c r="I7" s="2985"/>
    </row>
    <row r="8" spans="1:9" ht="15.75">
      <c r="A8" s="2980" t="str">
        <f>结果表!A122</f>
        <v>房地产抵押价值</v>
      </c>
      <c r="B8" s="2980"/>
      <c r="C8" s="2980"/>
      <c r="D8" s="2980">
        <f ca="1">结果表!D122</f>
        <v>17160</v>
      </c>
      <c r="E8" s="2980"/>
      <c r="F8" s="2980"/>
      <c r="G8" s="2980"/>
      <c r="H8" s="2980"/>
      <c r="I8" s="2980"/>
    </row>
    <row r="9" spans="1:9" ht="15">
      <c r="A9" s="2981" t="s">
        <v>1634</v>
      </c>
      <c r="B9" s="2981"/>
      <c r="C9" s="2981"/>
      <c r="D9" s="2982" t="str">
        <f ca="1">结果表!D123</f>
        <v>壹亿柒仟壹佰陆拾万元整</v>
      </c>
      <c r="E9" s="2982"/>
      <c r="F9" s="2982"/>
      <c r="G9" s="2982"/>
      <c r="H9" s="2982"/>
      <c r="I9" s="2982"/>
    </row>
    <row r="10" spans="1:9" ht="15.75">
      <c r="A10" s="2980" t="str">
        <f>结果表!A124</f>
        <v/>
      </c>
      <c r="B10" s="2980"/>
      <c r="C10" s="2980"/>
      <c r="D10" s="2980" t="str">
        <f>结果表!D124</f>
        <v>——</v>
      </c>
      <c r="E10" s="2980"/>
      <c r="F10" s="2980"/>
      <c r="G10" s="2980"/>
      <c r="H10" s="2980"/>
      <c r="I10" s="2980"/>
    </row>
    <row r="11" spans="1:9" ht="15">
      <c r="A11" s="2981" t="s">
        <v>1634</v>
      </c>
      <c r="B11" s="2981"/>
      <c r="C11" s="2981"/>
      <c r="D11" s="2982" t="e">
        <f>结果表!D125</f>
        <v>#VALUE!</v>
      </c>
      <c r="E11" s="2982"/>
      <c r="F11" s="2982"/>
      <c r="G11" s="2982"/>
      <c r="H11" s="2982"/>
      <c r="I11" s="2982"/>
    </row>
    <row r="12" spans="1:9" ht="15.75">
      <c r="A12" s="2980" t="str">
        <f>结果表!A126</f>
        <v/>
      </c>
      <c r="B12" s="2980"/>
      <c r="C12" s="2980"/>
      <c r="D12" s="2980" t="str">
        <f>结果表!D126</f>
        <v>——</v>
      </c>
      <c r="E12" s="2980"/>
      <c r="F12" s="2980"/>
      <c r="G12" s="2980"/>
      <c r="H12" s="2980"/>
      <c r="I12" s="2980"/>
    </row>
    <row r="13" spans="1:9" ht="15.75" thickBot="1">
      <c r="A13" s="2977" t="s">
        <v>1634</v>
      </c>
      <c r="B13" s="2977"/>
      <c r="C13" s="2977"/>
      <c r="D13" s="2978" t="e">
        <f>结果表!D127</f>
        <v>#VALUE!</v>
      </c>
      <c r="E13" s="2978"/>
      <c r="F13" s="2978"/>
      <c r="G13" s="2978"/>
      <c r="H13" s="2978"/>
      <c r="I13" s="2978"/>
    </row>
    <row r="14" spans="1:9" ht="15" thickTop="1">
      <c r="A14" s="2979" t="s">
        <v>1639</v>
      </c>
      <c r="B14" s="2979"/>
      <c r="C14" s="2979"/>
      <c r="D14" s="2979"/>
      <c r="E14" s="2979"/>
      <c r="F14" s="2979"/>
      <c r="G14" s="2979"/>
      <c r="H14" s="2979"/>
      <c r="I14" s="2979"/>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4" t="s">
        <v>1656</v>
      </c>
      <c r="B1" s="2994"/>
      <c r="C1" s="2994"/>
      <c r="D1" s="2994"/>
    </row>
    <row r="2" spans="1:4" ht="18">
      <c r="A2" s="2995" t="s">
        <v>1640</v>
      </c>
      <c r="B2" s="2995"/>
      <c r="C2" s="2995"/>
      <c r="D2" s="2995"/>
    </row>
    <row r="3" spans="1:4" ht="18.75">
      <c r="A3" s="1976" t="s">
        <v>1641</v>
      </c>
      <c r="B3" s="1976" t="s">
        <v>1642</v>
      </c>
      <c r="C3" s="1976" t="s">
        <v>1643</v>
      </c>
      <c r="D3" s="1976" t="s">
        <v>1644</v>
      </c>
    </row>
    <row r="4" spans="1:4" ht="56.25" customHeight="1">
      <c r="A4" s="1977" t="str">
        <f>项目基本情况!B4</f>
        <v>王鹏</v>
      </c>
      <c r="B4" s="1978">
        <f ca="1">项目基本情况!C4</f>
        <v>1120050019</v>
      </c>
      <c r="C4" s="1979"/>
      <c r="D4" s="1980" t="s">
        <v>1645</v>
      </c>
    </row>
    <row r="5" spans="1:4" ht="56.25" customHeight="1">
      <c r="A5" s="1977" t="str">
        <f>项目基本情况!D4</f>
        <v>崔锴</v>
      </c>
      <c r="B5" s="1978">
        <f ca="1">项目基本情况!E4</f>
        <v>1120100036</v>
      </c>
      <c r="C5" s="1981"/>
      <c r="D5" s="1980" t="s">
        <v>1645</v>
      </c>
    </row>
    <row r="6" spans="1:4" ht="18">
      <c r="A6" s="2995" t="s">
        <v>1646</v>
      </c>
      <c r="B6" s="2995"/>
      <c r="C6" s="2995"/>
      <c r="D6" s="2995"/>
    </row>
    <row r="7" spans="1:4" ht="18.75">
      <c r="A7" s="1976" t="s">
        <v>1641</v>
      </c>
      <c r="B7" s="1978" t="s">
        <v>1647</v>
      </c>
      <c r="C7" s="1976" t="s">
        <v>1643</v>
      </c>
      <c r="D7" s="1976" t="s">
        <v>1644</v>
      </c>
    </row>
    <row r="8" spans="1:4" ht="56.25" customHeight="1">
      <c r="A8" s="1982" t="s">
        <v>866</v>
      </c>
      <c r="B8" s="1982" t="s">
        <v>1</v>
      </c>
      <c r="C8" s="1979"/>
      <c r="D8" s="1980" t="s">
        <v>1645</v>
      </c>
    </row>
    <row r="9" spans="1:4">
      <c r="A9" s="728"/>
      <c r="B9" s="728"/>
      <c r="C9" s="728"/>
      <c r="D9" s="728"/>
    </row>
    <row r="10" spans="1:4" ht="18.75">
      <c r="A10" s="1983" t="s">
        <v>1648</v>
      </c>
      <c r="B10" s="728"/>
      <c r="C10" s="728"/>
      <c r="D10" s="728"/>
    </row>
    <row r="11" spans="1:4" ht="30" customHeight="1">
      <c r="A11" s="2996" t="s">
        <v>1649</v>
      </c>
      <c r="B11" s="2988"/>
      <c r="C11" s="2988"/>
      <c r="D11" s="2988"/>
    </row>
    <row r="12" spans="1:4" ht="15.75">
      <c r="A12" s="29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3"/>
      <c r="C12" s="2993"/>
      <c r="D12" s="2993"/>
    </row>
    <row r="13" spans="1:4" ht="30" customHeight="1">
      <c r="A13" s="29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3"/>
      <c r="C13" s="2993"/>
      <c r="D13" s="2993"/>
    </row>
    <row r="14" spans="1:4" ht="15.75" customHeight="1">
      <c r="A14" s="2988" t="str">
        <f>IF(项目基本情况!B8="抵押","4.本次评估估价师所知悉的法定优先受偿款情况说明如下：","——")</f>
        <v>4.本次评估估价师所知悉的法定优先受偿款情况说明如下：</v>
      </c>
      <c r="B14" s="2993"/>
      <c r="C14" s="2993"/>
      <c r="D14" s="2993"/>
    </row>
    <row r="15" spans="1:4" ht="42" customHeight="1">
      <c r="A15" s="298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8"/>
      <c r="C15" s="2988"/>
      <c r="D15" s="2988"/>
    </row>
    <row r="16" spans="1:4" ht="30" customHeight="1">
      <c r="A16" s="2990" t="s">
        <v>1650</v>
      </c>
      <c r="B16" s="2990"/>
      <c r="C16" s="2990"/>
      <c r="D16" s="2990"/>
    </row>
    <row r="17" spans="1:4" ht="144" customHeight="1">
      <c r="A17" s="2990" t="s">
        <v>1651</v>
      </c>
      <c r="B17" s="2990"/>
      <c r="C17" s="2990"/>
      <c r="D17" s="2990"/>
    </row>
    <row r="18" spans="1:4" ht="15.75" customHeight="1">
      <c r="A18" s="2988" t="str">
        <f>IF(项目基本情况!B8="抵押",结果表!K120,"——")</f>
        <v>故，本次评估不存在估价师知悉的法定优先受偿款</v>
      </c>
      <c r="B18" s="2988"/>
      <c r="C18" s="2988"/>
      <c r="D18" s="2988"/>
    </row>
    <row r="19" spans="1:4" ht="46.5" customHeight="1">
      <c r="A19" s="29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8"/>
      <c r="C19" s="2988"/>
      <c r="D19" s="2988"/>
    </row>
    <row r="20" spans="1:4" ht="57.75" customHeight="1">
      <c r="A20" s="29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8"/>
      <c r="C20" s="2988"/>
      <c r="D20" s="2988"/>
    </row>
    <row r="21" spans="1:4" ht="57.75" customHeight="1">
      <c r="A21" s="29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1"/>
      <c r="C21" s="2991"/>
      <c r="D21" s="2991"/>
    </row>
    <row r="22" spans="1:4" ht="18.75" customHeight="1">
      <c r="A22" s="2992" t="s">
        <v>1652</v>
      </c>
      <c r="B22" s="2992"/>
      <c r="C22" s="2992"/>
      <c r="D22" s="2992"/>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2989">
        <v>42551</v>
      </c>
      <c r="D31" s="298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E42" activeCellId="1" sqref="B49 E42"/>
      <selection pane="bottomLeft" activeCell="E42" activeCellId="1" sqref="B49 E42"/>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02" t="s">
        <v>1663</v>
      </c>
      <c r="B15" s="2997" t="s">
        <v>136</v>
      </c>
      <c r="C15" s="2998"/>
    </row>
    <row r="16" spans="1:7" ht="13.5">
      <c r="A16" s="3003"/>
      <c r="B16" s="2997" t="s">
        <v>69</v>
      </c>
      <c r="C16" s="2998"/>
    </row>
    <row r="17" spans="1:3" ht="13.5">
      <c r="A17" s="3003"/>
      <c r="B17" s="3000" t="s">
        <v>1664</v>
      </c>
      <c r="C17" s="1999" t="s">
        <v>1663</v>
      </c>
    </row>
    <row r="18" spans="1:3" ht="13.5">
      <c r="A18" s="3003"/>
      <c r="B18" s="3000"/>
      <c r="C18" s="1999" t="s">
        <v>1665</v>
      </c>
    </row>
    <row r="19" spans="1:3" ht="13.5">
      <c r="A19" s="3003"/>
      <c r="B19" s="3000"/>
      <c r="C19" s="1999" t="s">
        <v>1666</v>
      </c>
    </row>
    <row r="20" spans="1:3" ht="13.5">
      <c r="A20" s="3004"/>
      <c r="B20" s="2999" t="s">
        <v>1667</v>
      </c>
      <c r="C20" s="2998"/>
    </row>
    <row r="21" spans="1:3" ht="13.5">
      <c r="A21" s="2000" t="s">
        <v>1668</v>
      </c>
      <c r="B21" s="2001"/>
      <c r="C21" s="2002"/>
    </row>
    <row r="22" spans="1:3" ht="13.5">
      <c r="A22" s="3001" t="s">
        <v>1669</v>
      </c>
      <c r="B22" s="2999" t="s">
        <v>1670</v>
      </c>
      <c r="C22" s="2998"/>
    </row>
    <row r="23" spans="1:3" ht="13.5">
      <c r="A23" s="3001"/>
      <c r="B23" s="2999" t="s">
        <v>1671</v>
      </c>
      <c r="C23" s="2998"/>
    </row>
    <row r="24" spans="1:3" ht="13.5">
      <c r="A24" s="3001"/>
      <c r="B24" s="2999" t="s">
        <v>1672</v>
      </c>
      <c r="C24" s="2998"/>
    </row>
    <row r="25" spans="1:3" ht="13.5">
      <c r="A25" s="3001"/>
      <c r="B25" s="3000" t="s">
        <v>1673</v>
      </c>
      <c r="C25" s="1999" t="s">
        <v>1674</v>
      </c>
    </row>
    <row r="26" spans="1:3" ht="13.5">
      <c r="A26" s="3001"/>
      <c r="B26" s="3000"/>
      <c r="C26" s="1999" t="s">
        <v>1675</v>
      </c>
    </row>
    <row r="27" spans="1:3" ht="13.5">
      <c r="A27" s="3001"/>
      <c r="B27" s="3000"/>
      <c r="C27" s="1999" t="s">
        <v>1676</v>
      </c>
    </row>
    <row r="28" spans="1:3" ht="13.5">
      <c r="A28" s="3001"/>
      <c r="B28" s="3000"/>
      <c r="C28" s="1999" t="s">
        <v>1677</v>
      </c>
    </row>
    <row r="29" spans="1:3" ht="13.5">
      <c r="A29" s="3001"/>
      <c r="B29" s="3000"/>
      <c r="C29" s="1999" t="s">
        <v>1678</v>
      </c>
    </row>
    <row r="30" spans="1:3" ht="13.5">
      <c r="A30" s="3001"/>
      <c r="B30" s="3000"/>
      <c r="C30" s="1999" t="s">
        <v>1679</v>
      </c>
    </row>
    <row r="31" spans="1:3" ht="13.5">
      <c r="A31" s="3001"/>
      <c r="B31" s="3000"/>
      <c r="C31" s="1999" t="s">
        <v>1680</v>
      </c>
    </row>
    <row r="32" spans="1:3" ht="13.5">
      <c r="A32" s="3001"/>
      <c r="B32" s="3000"/>
      <c r="C32" s="1999" t="s">
        <v>1681</v>
      </c>
    </row>
    <row r="33" spans="1:3" ht="13.5">
      <c r="A33" s="3001"/>
      <c r="B33" s="3000"/>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E42" activeCellId="1" sqref="B49 E42"/>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43775</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7"/>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3042</v>
      </c>
      <c r="B14" s="1022">
        <f ca="1">IF(C14&lt;B2,"已过期",1120040230)</f>
        <v>1120040230</v>
      </c>
      <c r="C14" s="2345">
        <v>43835</v>
      </c>
      <c r="D14" s="2348" t="s">
        <v>3042</v>
      </c>
      <c r="E14" s="1022">
        <f ca="1">IF(F14&lt;B2,"已过期",98030020)</f>
        <v>98030020</v>
      </c>
      <c r="F14" s="1030">
        <v>47118</v>
      </c>
    </row>
    <row r="15" spans="1:6" ht="24" customHeight="1">
      <c r="A15" s="1703" t="s">
        <v>3043</v>
      </c>
      <c r="B15" s="1022">
        <f ca="1">IF(C15&lt;B2,"已过期",1120070085)</f>
        <v>1120070085</v>
      </c>
      <c r="C15" s="2345">
        <v>43814</v>
      </c>
      <c r="D15" s="2349" t="s">
        <v>3043</v>
      </c>
      <c r="E15" s="1022">
        <f ca="1">IF(F15&lt;B2,"已过期",2004110128)</f>
        <v>2004110128</v>
      </c>
      <c r="F15" s="1023">
        <v>47118</v>
      </c>
    </row>
    <row r="16" spans="1:6" ht="24" customHeight="1">
      <c r="A16" s="1702" t="s">
        <v>3044</v>
      </c>
      <c r="B16" s="1022">
        <f ca="1">IF(C16&lt;B2,"已过期",1120140022)</f>
        <v>1120140022</v>
      </c>
      <c r="C16" s="2927">
        <v>44029</v>
      </c>
      <c r="D16" s="2348" t="s">
        <v>3044</v>
      </c>
      <c r="E16" s="1022">
        <f ca="1">IF(F16&lt;B2,"已过期",2008110059)</f>
        <v>2008110059</v>
      </c>
      <c r="F16" s="1030">
        <v>47177</v>
      </c>
    </row>
    <row r="17" spans="1:7" ht="24" customHeight="1">
      <c r="A17" s="1702"/>
      <c r="B17" s="1022"/>
      <c r="C17" s="2345"/>
      <c r="D17" s="2348" t="s">
        <v>3045</v>
      </c>
      <c r="E17" s="1022">
        <f ca="1">IF(F17&lt;B2,"已过期",2014110076)</f>
        <v>2014110076</v>
      </c>
      <c r="F17" s="1030">
        <v>49302</v>
      </c>
    </row>
    <row r="18" spans="1:7" ht="24" customHeight="1">
      <c r="A18" s="1702" t="s">
        <v>3053</v>
      </c>
      <c r="B18" s="1022">
        <v>1120190079</v>
      </c>
      <c r="C18" s="2927">
        <v>44826</v>
      </c>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7">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5" t="s">
        <v>843</v>
      </c>
      <c r="B25" s="3005"/>
      <c r="C25" s="3005"/>
      <c r="D25" s="3005"/>
      <c r="E25" s="3005"/>
      <c r="F25" s="3005"/>
      <c r="G25" s="3005"/>
    </row>
    <row r="26" spans="1:7" s="1025" customFormat="1" ht="24" customHeight="1">
      <c r="A26" s="3006" t="s">
        <v>844</v>
      </c>
      <c r="B26" s="3006"/>
      <c r="C26" s="3007"/>
      <c r="D26" s="3008" t="s">
        <v>845</v>
      </c>
      <c r="E26" s="3006"/>
      <c r="F26" s="3006"/>
    </row>
    <row r="27" spans="1:7" s="1027" customFormat="1" ht="24" customHeight="1">
      <c r="A27" s="1026" t="s">
        <v>846</v>
      </c>
      <c r="B27" s="1021" t="s">
        <v>847</v>
      </c>
      <c r="C27" s="2344" t="s">
        <v>848</v>
      </c>
      <c r="D27" s="2351" t="s">
        <v>846</v>
      </c>
      <c r="E27" s="1021" t="s">
        <v>847</v>
      </c>
      <c r="F27" s="1021" t="s">
        <v>848</v>
      </c>
    </row>
    <row r="28" spans="1:7" s="1027" customFormat="1" ht="24" customHeight="1">
      <c r="A28" s="1028" t="s">
        <v>849</v>
      </c>
      <c r="B28" s="1029" t="s">
        <v>850</v>
      </c>
      <c r="C28" s="1030">
        <v>44820</v>
      </c>
      <c r="D28" s="2352" t="s">
        <v>851</v>
      </c>
      <c r="E28" s="1028" t="s">
        <v>852</v>
      </c>
      <c r="F28" s="1058">
        <v>44377</v>
      </c>
    </row>
    <row r="29" spans="1:7" s="1027" customFormat="1" ht="24" customHeight="1">
      <c r="A29" s="1028"/>
      <c r="B29" s="1028"/>
      <c r="C29" s="2350"/>
      <c r="D29" s="2352" t="s">
        <v>853</v>
      </c>
      <c r="E29" s="1202" t="s">
        <v>3054</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基准地价修正</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2019-11-06T06:10:40Z</dcterms:modified>
</cp:coreProperties>
</file>