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20" windowWidth="14370" windowHeight="1399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M28" i="15"/>
  <c r="M27" i="67"/>
  <c r="F37" i="67"/>
  <c r="F38" i="67"/>
  <c r="M9" i="15"/>
  <c r="F16" i="67"/>
  <c r="F7" i="67"/>
  <c r="D2" i="34"/>
  <c r="E9" i="76"/>
  <c r="F8" i="15"/>
  <c r="E7" i="76"/>
  <c r="E10" i="76"/>
  <c r="M26" i="67"/>
  <c r="D2" i="21"/>
  <c r="B13" i="76"/>
  <c r="F13" i="15"/>
  <c r="F20" i="31"/>
  <c r="M24" i="67"/>
  <c r="E2" i="68"/>
  <c r="AO9" i="1"/>
  <c r="F13" i="67"/>
  <c r="D5" i="73"/>
  <c r="F38" i="15"/>
  <c r="F7" i="15"/>
  <c r="L48" i="67"/>
  <c r="F36" i="15"/>
  <c r="E2" i="69"/>
  <c r="M23" i="15"/>
  <c r="E11" i="76"/>
  <c r="F41" i="15"/>
  <c r="F9" i="67"/>
  <c r="F43" i="15"/>
  <c r="C19" i="9"/>
  <c r="E12" i="76"/>
  <c r="F3" i="73"/>
  <c r="D7" i="73"/>
  <c r="F40" i="15"/>
  <c r="D3" i="73"/>
  <c r="AO8" i="1"/>
  <c r="F4" i="73"/>
  <c r="M8" i="15"/>
  <c r="M24" i="15"/>
  <c r="B10" i="76"/>
  <c r="M22" i="15"/>
  <c r="F7" i="73"/>
  <c r="F8" i="67"/>
  <c r="M29" i="15"/>
  <c r="J15" i="15"/>
  <c r="C20" i="9"/>
  <c r="F40" i="67"/>
  <c r="L48" i="15"/>
  <c r="M28" i="67"/>
  <c r="M27" i="15"/>
  <c r="AO6" i="1"/>
  <c r="L47" i="67"/>
  <c r="D34" i="9"/>
  <c r="M29" i="67"/>
  <c r="C76" i="67"/>
  <c r="AO12" i="1"/>
  <c r="D4" i="73"/>
  <c r="F6" i="15"/>
  <c r="F6" i="67"/>
  <c r="M9" i="67"/>
  <c r="F42" i="67"/>
  <c r="D2" i="35"/>
  <c r="B11" i="76"/>
  <c r="M6" i="15"/>
  <c r="M23" i="67"/>
  <c r="AO7" i="1"/>
  <c r="F36" i="67"/>
  <c r="D2" i="33"/>
  <c r="J15" i="67"/>
  <c r="F16" i="15"/>
  <c r="C76" i="15"/>
  <c r="AO13" i="1"/>
  <c r="F26" i="15"/>
  <c r="D35" i="9"/>
  <c r="L47" i="15"/>
  <c r="E13" i="76"/>
  <c r="D2" i="37"/>
  <c r="D20" i="9"/>
  <c r="F26" i="67"/>
  <c r="D6" i="73"/>
  <c r="F9" i="15"/>
  <c r="B8" i="76"/>
  <c r="M8" i="67"/>
  <c r="AO11" i="1"/>
  <c r="D2" i="36"/>
  <c r="B7" i="76"/>
  <c r="F41" i="67"/>
  <c r="M22" i="67"/>
  <c r="M6" i="67"/>
  <c r="AO10" i="1"/>
  <c r="F6" i="73"/>
  <c r="B9" i="76"/>
  <c r="F37" i="15"/>
  <c r="B12" i="76"/>
  <c r="F42" i="15"/>
  <c r="F5" i="73"/>
  <c r="M26" i="15"/>
  <c r="D19" i="9"/>
  <c r="F43" i="67"/>
  <c r="E8" i="76"/>
  <c r="D123" i="43" l="1"/>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E51" i="43" l="1"/>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3" i="15"/>
  <c r="L51" i="15"/>
  <c r="Q56" i="15" l="1"/>
  <c r="Q47" i="15"/>
  <c r="Q53" i="15" s="1"/>
  <c r="C80" i="15"/>
  <c r="C79" i="15" s="1"/>
  <c r="C83" i="15"/>
  <c r="C82" i="15" s="1"/>
  <c r="Q65" i="15"/>
  <c r="B2" i="15"/>
  <c r="B3" i="15" s="1"/>
  <c r="Q69" i="15"/>
  <c r="Q68" i="15" s="1"/>
  <c r="L57" i="15"/>
  <c r="L60" i="15" s="1"/>
  <c r="Q66" i="15" s="1"/>
  <c r="Q75" i="15" s="1"/>
  <c r="Q67"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c r="E14" i="74"/>
  <c r="N61" i="9"/>
  <c r="N60" i="9"/>
  <c r="D53" i="9"/>
  <c r="D52" i="9"/>
  <c r="C105" i="9"/>
  <c r="I4" i="52"/>
  <c r="H4" i="52"/>
  <c r="C104" i="9"/>
  <c r="D6" i="74"/>
  <c r="C6" i="74"/>
  <c r="N58" i="9"/>
  <c r="P57" i="9"/>
  <c r="N59" i="9"/>
  <c r="D5" i="74"/>
  <c r="D14" i="74"/>
  <c r="B5" i="74"/>
  <c r="C5" i="74"/>
  <c r="D8" i="52"/>
  <c r="M55" i="9"/>
  <c r="B20" i="72"/>
  <c r="C81" i="9"/>
  <c r="E97" i="9"/>
  <c r="B31" i="72"/>
  <c r="B47" i="72"/>
  <c r="B48" i="72"/>
  <c r="B51" i="72"/>
  <c r="D4" i="52"/>
  <c r="B49" i="72"/>
  <c r="B30" i="72"/>
  <c r="D59" i="9"/>
  <c r="C93" i="9"/>
  <c r="C86" i="9"/>
  <c r="M54" i="9"/>
  <c r="E96" i="9"/>
  <c r="M48" i="9"/>
  <c r="D15" i="53"/>
  <c r="G4" i="52"/>
  <c r="B52" i="72"/>
  <c r="F5" i="52"/>
  <c r="B53" i="72"/>
  <c r="C68" i="9"/>
  <c r="D54" i="9"/>
  <c r="G14" i="74"/>
  <c r="B6" i="74"/>
  <c r="E81" i="9"/>
  <c r="H102" i="9"/>
  <c r="D7" i="53"/>
  <c r="B21" i="72"/>
  <c r="F119" i="9"/>
  <c r="G118" i="9"/>
  <c r="F118" i="9"/>
  <c r="F4" i="52"/>
  <c r="E4" i="52"/>
  <c r="D5" i="53"/>
  <c r="D6" i="53"/>
  <c r="B22" i="72"/>
  <c r="H119" i="9"/>
  <c r="H5" i="52"/>
  <c r="E118" i="9"/>
  <c r="D118" i="9"/>
  <c r="D119" i="9"/>
  <c r="D5" i="52"/>
  <c r="H108" i="9"/>
  <c r="D13" i="53"/>
  <c r="D14" i="53"/>
  <c r="B32" i="72"/>
  <c r="C78" i="9"/>
  <c r="C73" i="9"/>
  <c r="C72" i="9"/>
  <c r="C79" i="9"/>
  <c r="C80" i="9"/>
  <c r="E80" i="9"/>
  <c r="C64" i="9"/>
  <c r="C63" i="9"/>
  <c r="C67" i="9"/>
  <c r="C96" i="9"/>
  <c r="C85" i="9"/>
  <c r="C95" i="9"/>
  <c r="C97" i="9"/>
  <c r="D58" i="9"/>
  <c r="D56" i="9"/>
  <c r="H107" i="9"/>
  <c r="D122" i="9"/>
  <c r="D123" i="9"/>
  <c r="D9"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<sst xmlns="http://schemas.openxmlformats.org/spreadsheetml/2006/main" count="7727" uniqueCount="3109">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</sst>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2022年8月23日</v>
      </c>
    </row>
    <row r="13" spans="1:2" s="2762" customFormat="1">
      <c r="A13" s="2760" t="s">
        <v>742</v>
      </c>
      <c r="B13" s="2761" t="str">
        <f>'预评函-1'!A18</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44796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2" t="s">
        <v>2439</v>
      </c>
      <c r="E8" s="2898"/>
      <c r="F8" s="2899"/>
      <c r="G8" s="2880"/>
      <c r="H8" s="2880"/>
      <c r="I8" s="2880"/>
      <c r="J8" s="862"/>
      <c r="K8" s="2900"/>
      <c r="L8" s="2893"/>
      <c r="M8" s="2893"/>
      <c r="N8" s="862"/>
      <c r="O8" s="2893"/>
      <c r="P8" s="862"/>
      <c r="Q8" s="862"/>
      <c r="R8" s="862"/>
    </row>
    <row r="9" spans="1:28" ht="13.5" thickBot="1">
      <c r="A9" s="2901" t="s">
        <v>2440</v>
      </c>
      <c r="B9" s="2902"/>
      <c r="C9" s="2903"/>
      <c r="D9" s="3043"/>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53194</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23</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330</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44796</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抵押担保权已注销时的房地产抵押价值</v>
      </c>
      <c r="L49" s="3139"/>
      <c r="M49" s="3160" t="str">
        <f>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44796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44796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44796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44796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44796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44796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44796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I27" sqref="I2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218.37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322</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Ⅳ-19</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22162</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14746</v>
      </c>
      <c r="C3" s="2266" t="s">
        <v>2178</v>
      </c>
      <c r="D3" s="473" t="s">
        <v>2179</v>
      </c>
      <c r="E3" s="2267" t="s">
        <v>2823</v>
      </c>
      <c r="F3" s="2270" t="s">
        <v>3098</v>
      </c>
      <c r="G3" s="2271">
        <v>2.5</v>
      </c>
      <c r="H3" s="473" t="s">
        <v>2180</v>
      </c>
      <c r="I3" s="2271">
        <v>4</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17468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17610</v>
      </c>
      <c r="N4" s="473">
        <f>SUMPRODUCT((因素修正幅度!B55:B86=I2)*(因素修正幅度!C3:G3=E2)*(因素修正幅度!C55:G86))</f>
        <v>0.1</v>
      </c>
      <c r="O4" s="2259"/>
      <c r="P4" s="2259"/>
      <c r="Q4" s="2259"/>
      <c r="R4" s="477">
        <v>3</v>
      </c>
      <c r="S4" s="477">
        <f>ROUND(SUMPRODUCT((B107:B111=R4)*(C106:N106=G2)*(C107:N111)),4)</f>
        <v>1.0004999999999999</v>
      </c>
      <c r="T4" s="477">
        <f t="shared" si="0"/>
        <v>14763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17574</v>
      </c>
      <c r="D5" s="2274">
        <f>ROUND(C6*C17+C20,0)</f>
        <v>17574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13020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17610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12513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3097</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3107</v>
      </c>
      <c r="D15" s="2325" t="s">
        <v>3107</v>
      </c>
      <c r="E15" s="2326" t="s">
        <v>3108</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0" t="s">
        <v>2237</v>
      </c>
      <c r="E20" s="3271"/>
      <c r="F20" s="3270" t="s">
        <v>2234</v>
      </c>
      <c r="G20" s="3271"/>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3091</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44796</v>
      </c>
      <c r="H23" s="2361" t="s">
        <v>3099</v>
      </c>
      <c r="I23" s="2360" t="str">
        <f>IF(H23="季度增幅（自定义）",SUMIF(N25:N28,E2,O25:O28),"")</f>
        <v/>
      </c>
      <c r="J23" s="2982" t="s">
        <v>3093</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0.78420000000000001</v>
      </c>
      <c r="D24" s="2365" t="s">
        <v>2246</v>
      </c>
      <c r="E24" s="2365">
        <f>存贷款利率!E20/100</f>
        <v>4.3499999999999997E-2</v>
      </c>
      <c r="F24" s="2365" t="s">
        <v>2238</v>
      </c>
      <c r="G24" s="2366">
        <f>SUMIF(M30:Q30,E2,M33:Q33)</f>
        <v>5.5E-2</v>
      </c>
      <c r="H24" s="2365" t="s">
        <v>2247</v>
      </c>
      <c r="I24" s="2367">
        <v>22</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0.88239999999999996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322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14756</v>
      </c>
      <c r="D33" s="2420">
        <v>218.37</v>
      </c>
      <c r="E33" s="2421">
        <f>ROUND(C33*D33/10000,0)</f>
        <v>322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3689</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5"/>
      <c r="B37" s="2439" t="s">
        <v>2275</v>
      </c>
      <c r="C37" s="495">
        <f>ROUND(D5*C22*C23*C24*C28*F37,0)</f>
        <v>8853</v>
      </c>
      <c r="D37" s="2420"/>
      <c r="E37" s="473">
        <f>ROUND(C37*D37/10000,0)</f>
        <v>0</v>
      </c>
      <c r="F37" s="473">
        <f>SUMIF(修正!A57:A68,G2,修正!B57:B68)</f>
        <v>0.6</v>
      </c>
      <c r="G37" s="473">
        <f>ROUND(IF(E2="工业",C37*$M$42,C37*$M$41),0)</f>
        <v>2213</v>
      </c>
      <c r="H37" s="473">
        <f>D37</f>
        <v>0</v>
      </c>
      <c r="I37" s="473">
        <f>ROUND(G37*H37/10000,0)</f>
        <v>0</v>
      </c>
      <c r="J37" s="327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4427</v>
      </c>
      <c r="D38" s="2420"/>
      <c r="E38" s="473">
        <f t="shared" ref="E38:E42" si="4">ROUND(C38*D38/10000,0)</f>
        <v>0</v>
      </c>
      <c r="F38" s="473">
        <f>SUMIF(修正!A57:A68,G2,修正!C57:C68)</f>
        <v>0.3</v>
      </c>
      <c r="G38" s="473">
        <f>ROUND(IF(E2="工业",C38*$M$42,C38*$M$41),0)</f>
        <v>1107</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3689</v>
      </c>
      <c r="D39" s="2420"/>
      <c r="E39" s="473">
        <f t="shared" si="4"/>
        <v>0</v>
      </c>
      <c r="F39" s="473">
        <f>SUMIF(修正!A57:A68,G2,修正!D57:D68)</f>
        <v>0.25</v>
      </c>
      <c r="G39" s="473">
        <f>ROUND(IF(E2="工业",C39*$M$42,C39*$M$41),0)</f>
        <v>922</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3689</v>
      </c>
      <c r="D40" s="2420"/>
      <c r="E40" s="473">
        <f t="shared" si="4"/>
        <v>0</v>
      </c>
      <c r="F40" s="495">
        <f>SUMIF(修正!A57:A68,G2,修正!E57:E68)</f>
        <v>0.25</v>
      </c>
      <c r="G40" s="473">
        <f>ROUND(IF(E2="工业",C40*$M$42,C40*$M$41),0)</f>
        <v>922</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499">
        <f t="shared" ref="D51:D59" si="7">SUMIF($J$50:$N$50,C51,J51:N51)</f>
        <v>1.4999999999999999E-2</v>
      </c>
      <c r="E51" s="2458">
        <f>ROUND(SUM(D51:D59),4)</f>
        <v>0.05</v>
      </c>
      <c r="F51" s="2329">
        <f>IF(E2="商业",SUMIF(L1:L12,G2,N1:N12),"——")</f>
        <v>0.1</v>
      </c>
      <c r="G51" s="2459">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3100</v>
      </c>
      <c r="D52" s="499">
        <f t="shared" si="7"/>
        <v>1.0999999999999999E-2</v>
      </c>
      <c r="E52" s="2461"/>
      <c r="F52" s="2402"/>
      <c r="G52" s="2459">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3100</v>
      </c>
      <c r="D53" s="499">
        <f t="shared" si="7"/>
        <v>6.0000000000000001E-3</v>
      </c>
      <c r="E53" s="2461"/>
      <c r="F53" s="2402"/>
      <c r="G53" s="2459">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3100</v>
      </c>
      <c r="D54" s="499">
        <f t="shared" si="7"/>
        <v>2.5000000000000001E-3</v>
      </c>
      <c r="E54" s="2461"/>
      <c r="F54" s="2402"/>
      <c r="G54" s="2459">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3100</v>
      </c>
      <c r="D55" s="499">
        <f t="shared" si="7"/>
        <v>4.0000000000000001E-3</v>
      </c>
      <c r="E55" s="2461"/>
      <c r="F55" s="2402"/>
      <c r="G55" s="2459">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3100</v>
      </c>
      <c r="D56" s="499">
        <f t="shared" si="7"/>
        <v>2.5000000000000001E-3</v>
      </c>
      <c r="E56" s="2461"/>
      <c r="F56" s="2402"/>
      <c r="G56" s="2459">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3100</v>
      </c>
      <c r="D57" s="499">
        <f t="shared" si="7"/>
        <v>2.5000000000000001E-3</v>
      </c>
      <c r="E57" s="2461"/>
      <c r="F57" s="2402"/>
      <c r="G57" s="2459">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3100</v>
      </c>
      <c r="D58" s="499">
        <f t="shared" si="7"/>
        <v>4.0000000000000001E-3</v>
      </c>
      <c r="E58" s="2461"/>
      <c r="F58" s="2402"/>
      <c r="G58" s="2459">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3100</v>
      </c>
      <c r="D59" s="499">
        <f t="shared" si="7"/>
        <v>2.5000000000000001E-3</v>
      </c>
      <c r="E59" s="487"/>
      <c r="F59" s="2402"/>
      <c r="G59" s="2459">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4</v>
      </c>
      <c r="D112" s="2482">
        <f t="shared" ref="D112:M112" si="33">$I$3</f>
        <v>4</v>
      </c>
      <c r="E112" s="2482">
        <f t="shared" si="33"/>
        <v>4</v>
      </c>
      <c r="F112" s="2482">
        <f t="shared" si="33"/>
        <v>4</v>
      </c>
      <c r="G112" s="2482">
        <f t="shared" si="33"/>
        <v>4</v>
      </c>
      <c r="H112" s="2482">
        <f t="shared" si="33"/>
        <v>4</v>
      </c>
      <c r="I112" s="2482">
        <f t="shared" si="33"/>
        <v>4</v>
      </c>
      <c r="J112" s="2482">
        <f t="shared" si="33"/>
        <v>4</v>
      </c>
      <c r="K112" s="2482">
        <f t="shared" si="33"/>
        <v>4</v>
      </c>
      <c r="L112" s="2482">
        <f t="shared" si="33"/>
        <v>4</v>
      </c>
      <c r="M112" s="2482">
        <f t="shared" si="33"/>
        <v>4</v>
      </c>
      <c r="N112" s="2482">
        <f>$I$3</f>
        <v>4</v>
      </c>
    </row>
    <row r="113" spans="1:14">
      <c r="A113" s="3280"/>
      <c r="B113" s="2421">
        <v>6</v>
      </c>
      <c r="C113" s="502">
        <f>(-0.5556*(C112^2)-0.2719*C112+8944)*(10^(-4))</f>
        <v>0.8934022800000001</v>
      </c>
      <c r="D113" s="502">
        <f>(-0.5556*(D112^2)-0.2719*D112+8944)*(10^(-4))</f>
        <v>0.8934022800000001</v>
      </c>
      <c r="E113" s="502">
        <f>(-0.7912*(E112^2)-11.3794*E112+8482)*(10^(-4))</f>
        <v>0.84238232000000013</v>
      </c>
      <c r="F113" s="502">
        <f t="shared" ref="F113:I113" si="34">(-0.7912*(F112^2)-11.3794*F112+8482)*(10^(-4))</f>
        <v>0.84238232000000013</v>
      </c>
      <c r="G113" s="502">
        <f t="shared" si="34"/>
        <v>0.84238232000000013</v>
      </c>
      <c r="H113" s="502">
        <f t="shared" si="34"/>
        <v>0.84238232000000013</v>
      </c>
      <c r="I113" s="502">
        <f t="shared" si="34"/>
        <v>0.84238232000000013</v>
      </c>
      <c r="J113" s="502">
        <f>(-0.989*(J112^2)-63.78*J112+7771)*(10^(-4))</f>
        <v>0.75000559999999994</v>
      </c>
      <c r="K113" s="502">
        <f t="shared" ref="K113:N113" si="35">(-0.989*(K112^2)-63.78*K112+7771)*(10^(-4))</f>
        <v>0.75000559999999994</v>
      </c>
      <c r="L113" s="502">
        <f t="shared" si="35"/>
        <v>0.75000559999999994</v>
      </c>
      <c r="M113" s="502">
        <f t="shared" si="35"/>
        <v>0.75000559999999994</v>
      </c>
      <c r="N113" s="502">
        <f t="shared" si="35"/>
        <v>0.75000559999999994</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322</v>
      </c>
      <c r="C2" s="2543" t="s">
        <v>2332</v>
      </c>
      <c r="D2" s="2543" t="s">
        <v>2333</v>
      </c>
      <c r="E2" s="2544">
        <f ca="1">SUMIF(E6:E13,"&lt;&gt;#ref!",E6:E13)</f>
        <v>218.37</v>
      </c>
      <c r="F2" s="2542"/>
      <c r="G2" s="2542"/>
      <c r="H2" s="2542"/>
      <c r="I2" s="2542"/>
      <c r="J2" s="2542"/>
      <c r="K2" s="2542"/>
      <c r="L2" s="2542"/>
      <c r="M2" s="2542"/>
      <c r="N2" s="2542"/>
      <c r="O2" s="2542"/>
      <c r="P2" s="2542"/>
    </row>
    <row r="3" spans="1:16" ht="15.75">
      <c r="A3" s="2543" t="s">
        <v>2334</v>
      </c>
      <c r="B3" s="1704">
        <f ca="1">ROUND(B2*10000/E2,0)</f>
        <v>14746</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322</v>
      </c>
      <c r="C6" s="2543" t="s">
        <v>2332</v>
      </c>
      <c r="D6" s="2542"/>
      <c r="E6" s="2544">
        <f ca="1">SUMIF(INDIRECT("'"&amp;A6&amp;"'"&amp;"!C:C"),"建筑面积",INDIRECT("'"&amp;A6&amp;"'"&amp;"!D:D"))</f>
        <v>218.37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44796</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2022-09-08T09:30:34Z</dcterms:modified>
</cp:coreProperties>
</file>